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PASSAGENS GB" sheetId="1" r:id="rId1"/>
    <sheet name="HOSPEDAGEM GB" sheetId="2" r:id="rId2"/>
    <sheet name="Refeições GB" sheetId="3" r:id="rId3"/>
    <sheet name="mochila GB" sheetId="4" r:id="rId4"/>
    <sheet name="roteiro" sheetId="5" r:id="rId5"/>
    <sheet name="PASSAGENS" sheetId="6" r:id="rId6"/>
    <sheet name="tarifa habitación" sheetId="7" r:id="rId7"/>
    <sheet name="planejamento horário de viagem" sheetId="8" r:id="rId8"/>
    <sheet name="EXCURSÕES" sheetId="9" r:id="rId9"/>
    <sheet name="TRANSPORTE HORARIOS" sheetId="10" r:id="rId10"/>
  </sheets>
  <definedNames>
    <definedName name="_xlnm.Print_Area" localSheetId="3">'mochila GB'!$A$4:$L$152</definedName>
    <definedName name="_xlnm.Print_Area" localSheetId="4">'roteiro'!$A$97:$J$132</definedName>
  </definedNames>
  <calcPr fullCalcOnLoad="1"/>
</workbook>
</file>

<file path=xl/sharedStrings.xml><?xml version="1.0" encoding="utf-8"?>
<sst xmlns="http://schemas.openxmlformats.org/spreadsheetml/2006/main" count="2740" uniqueCount="773">
  <si>
    <t>Explorações</t>
  </si>
  <si>
    <t>Entradas</t>
  </si>
  <si>
    <t>Pacote  total (já c/ entr)</t>
  </si>
  <si>
    <t>Observações</t>
  </si>
  <si>
    <t>Atacama</t>
  </si>
  <si>
    <t>Distância de San Pedro (Km)</t>
  </si>
  <si>
    <t>Distância de Calama (Km)</t>
  </si>
  <si>
    <t>Local</t>
  </si>
  <si>
    <t>Incluído</t>
  </si>
  <si>
    <t xml:space="preserve"> PCL</t>
  </si>
  <si>
    <t xml:space="preserve"> R$</t>
  </si>
  <si>
    <t>PCL</t>
  </si>
  <si>
    <t>R$</t>
  </si>
  <si>
    <t>Duração</t>
  </si>
  <si>
    <t>Partida</t>
  </si>
  <si>
    <t>Retorno</t>
  </si>
  <si>
    <t>2 VALE DA LUA/19 VALE DA morte</t>
  </si>
  <si>
    <t>A PÉ</t>
  </si>
  <si>
    <r>
      <t>Valle de La Luna (AL mirador de la cordillera de la sal, por El valle de la muerte, las tres marias, anfiteatro, quebrada de kari y se espera el atardecer en la gran duna)</t>
    </r>
    <r>
      <rPr>
        <sz val="10"/>
        <color indexed="12"/>
        <rFont val="Arial"/>
        <family val="2"/>
      </rPr>
      <t>ver poente</t>
    </r>
  </si>
  <si>
    <t>entradas 2,25Km alt</t>
  </si>
  <si>
    <t>5h - T</t>
  </si>
  <si>
    <t>0/1/1900  21:00:00</t>
  </si>
  <si>
    <t>Altiplano/ Valeria/ alugam sandboard e bicicleta</t>
  </si>
  <si>
    <t>Levar roupa leve, jaqueta impermeável com capuz, protetor solar, lanterna, água</t>
  </si>
  <si>
    <t>GUIA</t>
  </si>
  <si>
    <t xml:space="preserve">Geiseres del tatio </t>
  </si>
  <si>
    <t>Café,entr 3 a 4 km alt</t>
  </si>
  <si>
    <t>8h30 - M</t>
  </si>
  <si>
    <t>0/0/01 12:30</t>
  </si>
  <si>
    <t xml:space="preserve">Levar jaqueta impermeável, protetor solar, roupa de banho, toalha, água </t>
  </si>
  <si>
    <t>6/14</t>
  </si>
  <si>
    <t>Lagunas Altiplanicas + Salar de Atacama(visita Tambillo, Salar de Atacama, Toconoa, Laguna miscanti y meñiquez, quebrada de Jere y Socaire)</t>
  </si>
  <si>
    <t>4km alt ENTRADA: Laguna Chaxa $2.000, Quebrada de Jeré $1.000, Lagunas altiplánicas $2.000</t>
  </si>
  <si>
    <t>todo</t>
  </si>
  <si>
    <t>0/0/00 8:00</t>
  </si>
  <si>
    <t xml:space="preserve">Levar jaqueta impermeável com capuz, protetor solar, água, roupa leve,óculos </t>
  </si>
  <si>
    <t>3</t>
  </si>
  <si>
    <t>GUIA???</t>
  </si>
  <si>
    <t>Laguna Cejar, Ojos del Salar y Laguna Tevinquiche</t>
  </si>
  <si>
    <t>snack??, entr</t>
  </si>
  <si>
    <t>agua, bloqueador, lentes de sol, traje de baño y sandalias</t>
  </si>
  <si>
    <t>4</t>
  </si>
  <si>
    <t>Valle del arcoiris más petroglifos</t>
  </si>
  <si>
    <t>entradas</t>
  </si>
  <si>
    <t>5</t>
  </si>
  <si>
    <t>Termas de Puritama</t>
  </si>
  <si>
    <t>3,5km alt</t>
  </si>
  <si>
    <t>4h30 M/T</t>
  </si>
  <si>
    <t>0/0/00 9:00</t>
  </si>
  <si>
    <t>0/0/00 13:30</t>
  </si>
  <si>
    <t>6</t>
  </si>
  <si>
    <t>Lagunas Altiplanicas</t>
  </si>
  <si>
    <t>entr, almoç, 4km alt</t>
  </si>
  <si>
    <t>7</t>
  </si>
  <si>
    <t>Salar de Tara</t>
  </si>
  <si>
    <t>aliment, guia 4km alt</t>
  </si>
  <si>
    <t>GRÁTIS</t>
  </si>
  <si>
    <t>10h M/T</t>
  </si>
  <si>
    <t>0/0/00 18:00</t>
  </si>
  <si>
    <t xml:space="preserve">  Francisco Javier Araos Marcet &lt;iverotravels@gmail.com&gt;  </t>
  </si>
  <si>
    <t>lentes de sol, agua, bloqueador solar, ropa de abrigo</t>
  </si>
  <si>
    <t>8/5</t>
  </si>
  <si>
    <t>QUEBRADA DE GUATIN + TERMAS DE PURITAMA</t>
  </si>
  <si>
    <t>snack??, entr 3,5km alt</t>
  </si>
  <si>
    <t>6h30 M/T</t>
  </si>
  <si>
    <t>0/0/00 14:30</t>
  </si>
  <si>
    <t>traje de baño, lentes de sol, bloqueador solar, sombrero, zapatos de trekking</t>
  </si>
  <si>
    <t>9</t>
  </si>
  <si>
    <t>BIKE</t>
  </si>
  <si>
    <t>Machuca - Rio Grande</t>
  </si>
  <si>
    <t>café,almoç</t>
  </si>
  <si>
    <t>?</t>
  </si>
  <si>
    <t>9h M/T</t>
  </si>
  <si>
    <t>0/0/00 8:30</t>
  </si>
  <si>
    <t>0/0/00 17:30</t>
  </si>
  <si>
    <t>Necesitará ropa abrigada para la mañana y ropa liviana para el día, zapatos de trekking, bloqueador solar, gorro, lentes para el sol, agua y mochila</t>
  </si>
  <si>
    <t>10</t>
  </si>
  <si>
    <t>Cerro Toco</t>
  </si>
  <si>
    <t>5km alt, aliment</t>
  </si>
  <si>
    <t>7h M/T</t>
  </si>
  <si>
    <t>0/0/00 15:00</t>
  </si>
  <si>
    <t>min 3 pessoas</t>
  </si>
  <si>
    <t>11</t>
  </si>
  <si>
    <t>Volcan Lascar (EM ATIVIDADE, ROPE HAULING)</t>
  </si>
  <si>
    <t>5,6km alt,aliment</t>
  </si>
  <si>
    <t>12h M/T</t>
  </si>
  <si>
    <t>0/0/00 5:00</t>
  </si>
  <si>
    <t>0/0/00 17:00</t>
  </si>
  <si>
    <t xml:space="preserve">min 4 pessoas, ropa abrigada, zapatos de trekking ,gorro, lentes de sol, guantes, bloqueador solar, agua
</t>
  </si>
  <si>
    <t>12</t>
  </si>
  <si>
    <t>VOLCAN  SAIRECABUR (Cume + alto da região, mina de enxofre)</t>
  </si>
  <si>
    <t>6km alt,aliment</t>
  </si>
  <si>
    <t>13h30 M/T</t>
  </si>
  <si>
    <t xml:space="preserve">0/0/00 5:00 </t>
  </si>
  <si>
    <t>0/0/00 18:30</t>
  </si>
  <si>
    <t xml:space="preserve">ropa abrigada, zapatos de trekking
gorro, lentes de sol, guantes, bloqueador solar, agua
</t>
  </si>
  <si>
    <t>13</t>
  </si>
  <si>
    <t>2 V. LUA/19 MORTE</t>
  </si>
  <si>
    <t xml:space="preserve">vale de la luna(Visita  la Cordillera de la Sal, Valle de la Muerte, cavernas de sal, Valle de la Luna.
Sale de la oficina.)
</t>
  </si>
  <si>
    <t>0/0/00 16:00</t>
  </si>
  <si>
    <t>0/0/00 21:00</t>
  </si>
  <si>
    <t>turistour</t>
  </si>
  <si>
    <t>14</t>
  </si>
  <si>
    <t>salar de atacama(Visita el pueblo de Toconao, Salar de Atacama, Lagunas Chaxa, puesta de sol)</t>
  </si>
  <si>
    <t>2 a 3 km alt</t>
  </si>
  <si>
    <t>0/0/00 16:30</t>
  </si>
  <si>
    <t>0/0/00 21:30</t>
  </si>
  <si>
    <t>2/5</t>
  </si>
  <si>
    <t>GEYSER  + PURITAMA</t>
  </si>
  <si>
    <t>0/0/00 04:30</t>
  </si>
  <si>
    <t>0/0/00 13:00</t>
  </si>
  <si>
    <t>15</t>
  </si>
  <si>
    <t>Museu arqueológico - Museo Padre Le Paige (múmias)</t>
  </si>
  <si>
    <t>16</t>
  </si>
  <si>
    <t>Salar Uyuni - Sudoeste Bolívia</t>
  </si>
  <si>
    <t>17</t>
  </si>
  <si>
    <t>Pukará de Quitor</t>
  </si>
  <si>
    <t>18</t>
  </si>
  <si>
    <t>Ruínas de Tulor</t>
  </si>
  <si>
    <t>19</t>
  </si>
  <si>
    <t>Circuito Red Lícan Huassi</t>
  </si>
  <si>
    <t>20</t>
  </si>
  <si>
    <t>Red Alto El Loa</t>
  </si>
  <si>
    <t>21</t>
  </si>
  <si>
    <t>Lagunas Miscanti y Miniques</t>
  </si>
  <si>
    <t>22</t>
  </si>
  <si>
    <t>Reserva Nacional Los Flamancos</t>
  </si>
  <si>
    <t>23</t>
  </si>
  <si>
    <t>Peine</t>
  </si>
  <si>
    <t>24</t>
  </si>
  <si>
    <t>Socaire</t>
  </si>
  <si>
    <t>25</t>
  </si>
  <si>
    <t>Minério de Cu em Chuquicamata</t>
  </si>
  <si>
    <t>26</t>
  </si>
  <si>
    <t>Aldea de Tulor</t>
  </si>
  <si>
    <t>27</t>
  </si>
  <si>
    <t>Valle de Jerez</t>
  </si>
  <si>
    <t>3 a 4 km alt</t>
  </si>
  <si>
    <t>28</t>
  </si>
  <si>
    <t>Morro Toco (vista para  BOL. ARG, CHILE)</t>
  </si>
  <si>
    <t>5,6 km alt</t>
  </si>
  <si>
    <t>29</t>
  </si>
  <si>
    <t>Vulcão Licancabur(c/lagoa + alta do mundo, BOL,dura 2 dias, 5916altitude, avisar com 60 dias, RUÍNAS INCAS).Laguna verde, laguna blanca</t>
  </si>
  <si>
    <t>30</t>
  </si>
  <si>
    <t>Licancabur+Uyuni</t>
  </si>
  <si>
    <t>entr, transp 4x4, aliment, hospedagem</t>
  </si>
  <si>
    <t>135 usd</t>
  </si>
  <si>
    <t>R$ =</t>
  </si>
  <si>
    <t>3d+2n</t>
  </si>
  <si>
    <t>cordillera traveller.com</t>
  </si>
  <si>
    <t xml:space="preserve">saco de dormir </t>
  </si>
  <si>
    <t>31</t>
  </si>
  <si>
    <t>32</t>
  </si>
  <si>
    <t>33</t>
  </si>
  <si>
    <t>34</t>
  </si>
  <si>
    <t>COM ENTRADAS</t>
  </si>
  <si>
    <t>C/ ENTR INCL</t>
  </si>
  <si>
    <t>C/ENTR INCL</t>
  </si>
  <si>
    <t>COM ENTR INCLUÍDAS</t>
  </si>
  <si>
    <t>LEGAL VISITAR</t>
  </si>
  <si>
    <t>BASICÃO</t>
  </si>
  <si>
    <t>hora</t>
  </si>
  <si>
    <t>local</t>
  </si>
  <si>
    <t>seg</t>
  </si>
  <si>
    <t>santiago</t>
  </si>
  <si>
    <t>2d</t>
  </si>
  <si>
    <t>quart</t>
  </si>
  <si>
    <t>quint</t>
  </si>
  <si>
    <t>atacama</t>
  </si>
  <si>
    <t>sext</t>
  </si>
  <si>
    <t>dom</t>
  </si>
  <si>
    <t>saco de dormir</t>
  </si>
  <si>
    <t>usd</t>
  </si>
  <si>
    <t>ter</t>
  </si>
  <si>
    <t>13h</t>
  </si>
  <si>
    <t>La Paz</t>
  </si>
  <si>
    <t>Copacabana</t>
  </si>
  <si>
    <t>Puno</t>
  </si>
  <si>
    <t>cusco</t>
  </si>
  <si>
    <t>Tihuanaku</t>
  </si>
  <si>
    <t>St Cruz</t>
  </si>
  <si>
    <t>diário</t>
  </si>
  <si>
    <t>15h</t>
  </si>
  <si>
    <t>12h</t>
  </si>
  <si>
    <t>copacabana</t>
  </si>
  <si>
    <t>soles</t>
  </si>
  <si>
    <t>la paz</t>
  </si>
  <si>
    <t>total</t>
  </si>
  <si>
    <t>pcl</t>
  </si>
  <si>
    <t>3d</t>
  </si>
  <si>
    <t>CONVERSÃO MONETÁRIA</t>
  </si>
  <si>
    <t>1 BOL</t>
  </si>
  <si>
    <t xml:space="preserve"> =R$0,34</t>
  </si>
  <si>
    <t>266 PCL</t>
  </si>
  <si>
    <t xml:space="preserve"> =R$1,00</t>
  </si>
  <si>
    <t>1 USD</t>
  </si>
  <si>
    <t xml:space="preserve"> =R$2,30</t>
  </si>
  <si>
    <t>1 sole PER</t>
  </si>
  <si>
    <t xml:space="preserve"> =R$0,70</t>
  </si>
  <si>
    <t>3,21 BOL</t>
  </si>
  <si>
    <t>= R$1,00</t>
  </si>
  <si>
    <t>1,42 soles PER</t>
  </si>
  <si>
    <t>=R$1,00</t>
  </si>
  <si>
    <t>repelente</t>
  </si>
  <si>
    <t>protetor corporal</t>
  </si>
  <si>
    <t>protetor facial</t>
  </si>
  <si>
    <t>protetor labial</t>
  </si>
  <si>
    <t>papel higiênico</t>
  </si>
  <si>
    <t>pasta de dente</t>
  </si>
  <si>
    <t>escova de dente</t>
  </si>
  <si>
    <t>deocolônia corporal</t>
  </si>
  <si>
    <t>xampu</t>
  </si>
  <si>
    <t>condicionador</t>
  </si>
  <si>
    <t>toalha</t>
  </si>
  <si>
    <t>cobertor</t>
  </si>
  <si>
    <t>binóculos</t>
  </si>
  <si>
    <t>boné</t>
  </si>
  <si>
    <t>óculos de sol</t>
  </si>
  <si>
    <t>lentes</t>
  </si>
  <si>
    <t>soro</t>
  </si>
  <si>
    <t>borato</t>
  </si>
  <si>
    <t>biscoito</t>
  </si>
  <si>
    <t>garrafa térmica</t>
  </si>
  <si>
    <t>squeeze</t>
  </si>
  <si>
    <t>amendoim</t>
  </si>
  <si>
    <t>bala</t>
  </si>
  <si>
    <t>caderneta</t>
  </si>
  <si>
    <t>dinheiro</t>
  </si>
  <si>
    <t>cartão</t>
  </si>
  <si>
    <t>pente</t>
  </si>
  <si>
    <t>máquina fotográfica</t>
  </si>
  <si>
    <t>carregador</t>
  </si>
  <si>
    <t>cartão de memória</t>
  </si>
  <si>
    <t>capa de chuva</t>
  </si>
  <si>
    <t>cachecol</t>
  </si>
  <si>
    <t>calça skatista</t>
  </si>
  <si>
    <t>luvas</t>
  </si>
  <si>
    <t>blusa regata</t>
  </si>
  <si>
    <t>blusa manga curta</t>
  </si>
  <si>
    <t>tricô</t>
  </si>
  <si>
    <t>segunda pele</t>
  </si>
  <si>
    <t>meia-calça</t>
  </si>
  <si>
    <t>no corpo</t>
  </si>
  <si>
    <t xml:space="preserve">short bermuda </t>
  </si>
  <si>
    <t>blusa branca</t>
  </si>
  <si>
    <t>para dormir</t>
  </si>
  <si>
    <t>tenis</t>
  </si>
  <si>
    <t>ATACAMA</t>
  </si>
  <si>
    <t>6,98BOL</t>
  </si>
  <si>
    <t>2,98 sole PER</t>
  </si>
  <si>
    <t>572,80PCL</t>
  </si>
  <si>
    <t xml:space="preserve">La Paz </t>
  </si>
  <si>
    <t>POTOSI</t>
  </si>
  <si>
    <t>ônibus</t>
  </si>
  <si>
    <t>Puerto Quijarro</t>
  </si>
  <si>
    <t>Corumbá</t>
  </si>
  <si>
    <t>RJ</t>
  </si>
  <si>
    <t>Total</t>
  </si>
  <si>
    <t>hospedagem</t>
  </si>
  <si>
    <t>tour</t>
  </si>
  <si>
    <t>bol</t>
  </si>
  <si>
    <t>pesca</t>
  </si>
  <si>
    <t>passagens</t>
  </si>
  <si>
    <t>trem da morte</t>
  </si>
  <si>
    <t>identidade verde</t>
  </si>
  <si>
    <t>passaporte</t>
  </si>
  <si>
    <t>fino, grosso</t>
  </si>
  <si>
    <t>rolo</t>
  </si>
  <si>
    <t>peq</t>
  </si>
  <si>
    <t>envelope</t>
  </si>
  <si>
    <t>canga</t>
  </si>
  <si>
    <t>Passagens</t>
  </si>
  <si>
    <t>Brasil</t>
  </si>
  <si>
    <t>Chile</t>
  </si>
  <si>
    <t>Santiago</t>
  </si>
  <si>
    <t>Viña del Mar</t>
  </si>
  <si>
    <t>x</t>
  </si>
  <si>
    <t>Esqui</t>
  </si>
  <si>
    <t xml:space="preserve">Santiago </t>
  </si>
  <si>
    <t>Vinícola</t>
  </si>
  <si>
    <t>luna, marte</t>
  </si>
  <si>
    <t>geiser,puritama</t>
  </si>
  <si>
    <t>aldea tulor</t>
  </si>
  <si>
    <t>altiplanicas,salar atacama</t>
  </si>
  <si>
    <t>Uyuni</t>
  </si>
  <si>
    <t>Potosi</t>
  </si>
  <si>
    <t>tihuanaku</t>
  </si>
  <si>
    <t>a pé</t>
  </si>
  <si>
    <t>Bonito</t>
  </si>
  <si>
    <t>Isla del Sol</t>
  </si>
  <si>
    <t>Isla del Sol s/ guia</t>
  </si>
  <si>
    <t>Isla del Sol c/ guia</t>
  </si>
  <si>
    <t>Isla sillustani</t>
  </si>
  <si>
    <t>Isla  taquile</t>
  </si>
  <si>
    <t>Santa Cruz de la Sierra</t>
  </si>
  <si>
    <t>Alfândega</t>
  </si>
  <si>
    <t xml:space="preserve">Bonito </t>
  </si>
  <si>
    <t>Moeda Local</t>
  </si>
  <si>
    <t>geral de bala</t>
  </si>
  <si>
    <t>X</t>
  </si>
  <si>
    <t>VACINA</t>
  </si>
  <si>
    <t>blusa manga longa</t>
  </si>
  <si>
    <t>sandalia roxa</t>
  </si>
  <si>
    <t>SANTIAGO</t>
  </si>
  <si>
    <t>hostal providencia</t>
  </si>
  <si>
    <t>UYUNI</t>
  </si>
  <si>
    <t>LA PAZ</t>
  </si>
  <si>
    <t>COPACABANA</t>
  </si>
  <si>
    <t>PUNO</t>
  </si>
  <si>
    <t>SANTA CRUZ</t>
  </si>
  <si>
    <t>CORUMBÁ</t>
  </si>
  <si>
    <t>BONITO</t>
  </si>
  <si>
    <t>pó contra dor de barriga</t>
  </si>
  <si>
    <t>folha de goiabeira</t>
  </si>
  <si>
    <t>hostal cabur</t>
  </si>
  <si>
    <t>HOSPEDAGEM</t>
  </si>
  <si>
    <t>cidade</t>
  </si>
  <si>
    <t>hotel</t>
  </si>
  <si>
    <t>e-mail</t>
  </si>
  <si>
    <t>endereço</t>
  </si>
  <si>
    <t>diária unidade</t>
  </si>
  <si>
    <t>moeda</t>
  </si>
  <si>
    <t>total R$</t>
  </si>
  <si>
    <t>hostal-cabur@gmail.com</t>
  </si>
  <si>
    <t>providenciahostel@gmail.com</t>
  </si>
  <si>
    <t>Incluída no Tour</t>
  </si>
  <si>
    <t>BOL</t>
  </si>
  <si>
    <t>RBL</t>
  </si>
  <si>
    <t>total local</t>
  </si>
  <si>
    <t>total tour</t>
  </si>
  <si>
    <t>alimentação</t>
  </si>
  <si>
    <t>REFEIÇÕES</t>
  </si>
  <si>
    <t>Estabelecimento</t>
  </si>
  <si>
    <t>pratos</t>
  </si>
  <si>
    <t>preços</t>
  </si>
  <si>
    <t>sub-total</t>
  </si>
  <si>
    <t>Cidade</t>
  </si>
  <si>
    <t>Chacaltaya</t>
  </si>
  <si>
    <t>Cusco</t>
  </si>
  <si>
    <t>Machu Picchu</t>
  </si>
  <si>
    <t>Poroy</t>
  </si>
  <si>
    <t>Santa Cruz de La Sierra</t>
  </si>
  <si>
    <t>Santa Cruz</t>
  </si>
  <si>
    <t>Sta Cruz</t>
  </si>
  <si>
    <t>Campo Grande</t>
  </si>
  <si>
    <t>Gruta azul</t>
  </si>
  <si>
    <t>Rio Formoso</t>
  </si>
  <si>
    <t>Cp Grande</t>
  </si>
  <si>
    <t>rbl</t>
  </si>
  <si>
    <t>5h m</t>
  </si>
  <si>
    <t>8:30 m</t>
  </si>
  <si>
    <t>m t</t>
  </si>
  <si>
    <t>m</t>
  </si>
  <si>
    <t>t</t>
  </si>
  <si>
    <t>m t n</t>
  </si>
  <si>
    <t>Rio da Prata</t>
  </si>
  <si>
    <t>1/2 d</t>
  </si>
  <si>
    <t>18 almoço</t>
  </si>
  <si>
    <t>15 almoço</t>
  </si>
  <si>
    <t>16soles</t>
  </si>
  <si>
    <t>sai</t>
  </si>
  <si>
    <t>chega</t>
  </si>
  <si>
    <t>Data</t>
  </si>
  <si>
    <t>sáb</t>
  </si>
  <si>
    <t>11h</t>
  </si>
  <si>
    <t>ou</t>
  </si>
  <si>
    <t>ilha qq</t>
  </si>
  <si>
    <t>1 dia sobrando</t>
  </si>
  <si>
    <t>sem MS</t>
  </si>
  <si>
    <t>local com MS</t>
  </si>
  <si>
    <t>local sem cusco e MS</t>
  </si>
  <si>
    <t xml:space="preserve">local sem cusco </t>
  </si>
  <si>
    <t>n/a</t>
  </si>
  <si>
    <t>13usd</t>
  </si>
  <si>
    <t>transporte + tour</t>
  </si>
  <si>
    <t>4d</t>
  </si>
  <si>
    <t>5d</t>
  </si>
  <si>
    <t>Vicuña Mackenna 92A bella Vista</t>
  </si>
  <si>
    <t>CUSCO</t>
  </si>
  <si>
    <t>Hotel</t>
  </si>
  <si>
    <t>Vicuña Mackenna 92 A</t>
  </si>
  <si>
    <t>Hostal Cabur</t>
  </si>
  <si>
    <t>em Santiago/CHILE</t>
  </si>
  <si>
    <t>em Atacama/CHILE</t>
  </si>
  <si>
    <t>esquiar</t>
  </si>
  <si>
    <t>ir ao cerro san cristobal</t>
  </si>
  <si>
    <t>ir a igreja</t>
  </si>
  <si>
    <t>50tranp+guia; 80entrada</t>
  </si>
  <si>
    <t>Tarifa</t>
  </si>
  <si>
    <t>Duração (h)</t>
  </si>
  <si>
    <t>saída</t>
  </si>
  <si>
    <t>chegada</t>
  </si>
  <si>
    <t>EMPRESA</t>
  </si>
  <si>
    <t>tarifa</t>
  </si>
  <si>
    <t>OBS.:</t>
  </si>
  <si>
    <t>4ª/dom</t>
  </si>
  <si>
    <t>6ª</t>
  </si>
  <si>
    <t>conexão em Oruro às 5h</t>
  </si>
  <si>
    <t>13 a 17</t>
  </si>
  <si>
    <t>Diana Tur, Emperador, 11 de julio</t>
  </si>
  <si>
    <t>Flota eldorado, flota copacabana, expreso cochabamba, trans sucre, trans universo</t>
  </si>
  <si>
    <t>TIHUANAKU</t>
  </si>
  <si>
    <t>6 às 18h</t>
  </si>
  <si>
    <t>30 em 30 min</t>
  </si>
  <si>
    <t>próx ao cemitério central</t>
  </si>
  <si>
    <t>: Los buses públicos a Copacabana salen casi cada hora de la plaza Tomas Catari frente al Cementerio General de La Paz de 6:00 am a 17:00 pm</t>
  </si>
  <si>
    <t xml:space="preserve">PUNO </t>
  </si>
  <si>
    <t>SOLES</t>
  </si>
  <si>
    <t>STA CRUZ</t>
  </si>
  <si>
    <t>só a Mopar faz este horário</t>
  </si>
  <si>
    <t>Mopar, flota cosmos, fita bolivar, flota el dorado, bolivia</t>
  </si>
  <si>
    <t>Cruzeiro do sul ms</t>
  </si>
  <si>
    <t>não há mais indicação deste horário no site</t>
  </si>
  <si>
    <t>CP GRANDE</t>
  </si>
  <si>
    <t>cruzeirodosulms.com.br</t>
  </si>
  <si>
    <t>Rio de Janeiro</t>
  </si>
  <si>
    <t>dura 23ou30h?!?</t>
  </si>
  <si>
    <t>andorinha</t>
  </si>
  <si>
    <t>andorinha.com</t>
  </si>
  <si>
    <t>Manhã, tarde, noite , ie, à rodo</t>
  </si>
  <si>
    <t>PREÇO MÉDIO</t>
  </si>
  <si>
    <t>TREM</t>
  </si>
  <si>
    <t>St CRUZ</t>
  </si>
  <si>
    <t>FRONTEIRA</t>
  </si>
  <si>
    <t>2ª/sáb</t>
  </si>
  <si>
    <t>3/5ª/dom</t>
  </si>
  <si>
    <t>2/4/6ª</t>
  </si>
  <si>
    <t>Ollantaytambo</t>
  </si>
  <si>
    <t>~1h30 de viagem</t>
  </si>
  <si>
    <t>Peru Rail</t>
  </si>
  <si>
    <t>single</t>
  </si>
  <si>
    <t>double</t>
  </si>
  <si>
    <t>dividido</t>
  </si>
  <si>
    <t>triplo</t>
  </si>
  <si>
    <t xml:space="preserve">check in </t>
  </si>
  <si>
    <t>14h</t>
  </si>
  <si>
    <t xml:space="preserve">check out </t>
  </si>
  <si>
    <t>s/bh</t>
  </si>
  <si>
    <t>c/bh</t>
  </si>
  <si>
    <t>cama div</t>
  </si>
  <si>
    <t>solt s/bh</t>
  </si>
  <si>
    <t>duplo/2</t>
  </si>
  <si>
    <t>triplo/3</t>
  </si>
  <si>
    <t>don tomas</t>
  </si>
  <si>
    <t>dontomas@rdc.cl</t>
  </si>
  <si>
    <t>la ruca</t>
  </si>
  <si>
    <t>hostalaruca@hotmail.com</t>
  </si>
  <si>
    <t>purikos</t>
  </si>
  <si>
    <t>tava30000</t>
  </si>
  <si>
    <t>purikospa@hotmail.com</t>
  </si>
  <si>
    <t>intipara</t>
  </si>
  <si>
    <t>intipara@sanpedroatacama.com</t>
  </si>
  <si>
    <t>altiplanico</t>
  </si>
  <si>
    <t>reservas@altiplanico.cl</t>
  </si>
  <si>
    <t>tulor</t>
  </si>
  <si>
    <t>***</t>
  </si>
  <si>
    <t>haramaksi</t>
  </si>
  <si>
    <t>rubencoyo@yahoo.com&gt;</t>
  </si>
  <si>
    <t>don raul</t>
  </si>
  <si>
    <t>&lt;donraulchile@hotmail.com</t>
  </si>
  <si>
    <t>intikila</t>
  </si>
  <si>
    <t>&lt;intikilla@sanpedroatacama.com</t>
  </si>
  <si>
    <t>elim</t>
  </si>
  <si>
    <t>contacto@hostalelim.cl&gt;</t>
  </si>
  <si>
    <t>lickana</t>
  </si>
  <si>
    <t>c/ ou s/bh??</t>
  </si>
  <si>
    <t>contacto@lickanahostal.cl</t>
  </si>
  <si>
    <t>corvatsch</t>
  </si>
  <si>
    <t>corvatsch@sanpedroatacama.com</t>
  </si>
  <si>
    <t>vilama</t>
  </si>
  <si>
    <t>el monte</t>
  </si>
  <si>
    <t>mama tierra</t>
  </si>
  <si>
    <t>confirmar este preço, pois peguei na net</t>
  </si>
  <si>
    <t>hostalmamatierra@sanpedroatacama.com</t>
  </si>
  <si>
    <t>kimal</t>
  </si>
  <si>
    <t>hi hostel</t>
  </si>
  <si>
    <t>tierra atacama</t>
  </si>
  <si>
    <t>aldea</t>
  </si>
  <si>
    <t>soncheck</t>
  </si>
  <si>
    <t>&lt;soncheksp@hotmail.com&gt; </t>
  </si>
  <si>
    <t>alana</t>
  </si>
  <si>
    <t>e-mail voltou</t>
  </si>
  <si>
    <t>, falhou</t>
  </si>
  <si>
    <t>hostal_alana@yahoo.com</t>
  </si>
  <si>
    <t>terracota</t>
  </si>
  <si>
    <t>não respondeu</t>
  </si>
  <si>
    <t>terracota@sanpedroatacama.com</t>
  </si>
  <si>
    <t>hara</t>
  </si>
  <si>
    <t>hostalhara@sanpedroatacama.com</t>
  </si>
  <si>
    <t>katarpe</t>
  </si>
  <si>
    <t>info@katarpe.com</t>
  </si>
  <si>
    <t>tambillo</t>
  </si>
  <si>
    <t>reservas@hoteltambillo.cl</t>
  </si>
  <si>
    <t>iquisa</t>
  </si>
  <si>
    <t xml:space="preserve">solor </t>
  </si>
  <si>
    <t>cabur</t>
  </si>
  <si>
    <t>hostal-cabur.com</t>
  </si>
  <si>
    <r>
      <rPr>
        <b/>
        <sz val="11"/>
        <color indexed="63"/>
        <rFont val="Calibri"/>
        <family val="2"/>
      </rPr>
      <t xml:space="preserve">HOSPEDAGEM SAN PEDRO DE ATACAMA </t>
    </r>
    <r>
      <rPr>
        <sz val="11"/>
        <color indexed="54"/>
        <rFont val="Calibri"/>
        <family val="2"/>
      </rPr>
      <t>(algumas cotações são de jan, logo deve ter dado uma "abaixada" nos valores)</t>
    </r>
  </si>
  <si>
    <t>em Cusco/PERU</t>
  </si>
  <si>
    <t>tour - rio prata</t>
  </si>
  <si>
    <t>entr mac picchu</t>
  </si>
  <si>
    <t>passagem</t>
  </si>
  <si>
    <t>-esqui</t>
  </si>
  <si>
    <t>comida dia</t>
  </si>
  <si>
    <t>R$/pessoa</t>
  </si>
  <si>
    <t>à rodo até 17h</t>
  </si>
  <si>
    <t xml:space="preserve">16 a 30 </t>
  </si>
  <si>
    <t>mtn</t>
  </si>
  <si>
    <t>Gruta do Lago Azul</t>
  </si>
  <si>
    <t>total rbl</t>
  </si>
  <si>
    <t>transporte</t>
  </si>
  <si>
    <t>exceto BRA/CHIL</t>
  </si>
  <si>
    <t>exceto MS/RJ</t>
  </si>
  <si>
    <t>A princípio, usarei o roteiro abaixo:</t>
  </si>
  <si>
    <t>total sem alimentação</t>
  </si>
  <si>
    <t>tudão</t>
  </si>
  <si>
    <t>Aeroporto</t>
  </si>
  <si>
    <t>Metro Universidad Santiago</t>
  </si>
  <si>
    <t>Ticket metro/bus(1300 cartao+3000 recarga)</t>
  </si>
  <si>
    <t>cerro san cistobal</t>
  </si>
  <si>
    <t>atacama (salão cama)</t>
  </si>
  <si>
    <t>ojos de cejar</t>
  </si>
  <si>
    <t>geiser el tatio</t>
  </si>
  <si>
    <t>vales luna,marte+sandboard</t>
  </si>
  <si>
    <t>Calama (ida e volta)</t>
  </si>
  <si>
    <t>hostal la casona (taxi)</t>
  </si>
  <si>
    <t>ônibus Centropuerto, passa na porta do aeroporto. Passagem paga direto ao motorista.</t>
  </si>
  <si>
    <t>1300 pcl de catrão + 3000 pcl de recarga. Média das passagens: 400 pcl. Serve para ônibus e metrô.</t>
  </si>
  <si>
    <t>sem graça que só.</t>
  </si>
  <si>
    <t>Empresa Tur-Bus, ônibus megaconfortável. Nunca vi igual no Brasil. Serve mais de um lanche e de qualidade. Brasil devia aprender com eles.</t>
  </si>
  <si>
    <t>Pela Atacama Connection</t>
  </si>
  <si>
    <t xml:space="preserve">Pela  KZ, calle Toconao, 2ªquadra após a praça. Superatenciosos. Excelente atendimento. Sandboard é com eles. </t>
  </si>
  <si>
    <t>Cordillera Traveller</t>
  </si>
  <si>
    <t>Empresa Quijarro</t>
  </si>
  <si>
    <t>taxi</t>
  </si>
  <si>
    <t>taxistas cobram por pessoa. Atendimento péssimo, tem que ter jogo de cintura.</t>
  </si>
  <si>
    <t>Mina Cerro Rico</t>
  </si>
  <si>
    <t>hostal Loki (taxi)</t>
  </si>
  <si>
    <t>potosi</t>
  </si>
  <si>
    <t>rodoviária</t>
  </si>
  <si>
    <t>Excelente tour pela experiência de vida. 60 bol do tour + 20 bol da coca com refri</t>
  </si>
  <si>
    <t>Trans  Copacabana. Os ônibus bolivianos são leito/cama só no nome. Todos são péssimos! 50 bol passagem + 2 bol de taxa de uso da rodoviária</t>
  </si>
  <si>
    <t>Cementerio de La Paz</t>
  </si>
  <si>
    <t>Cementerio</t>
  </si>
  <si>
    <t>Tiwanaco</t>
  </si>
  <si>
    <t>Museu Tiwanaco</t>
  </si>
  <si>
    <t>van em frente ao cemitério</t>
  </si>
  <si>
    <t>van na calle camacho</t>
  </si>
  <si>
    <t>taxi do terminal rodoviário</t>
  </si>
  <si>
    <t>Empresa Frontera. Guardem os tickets na Bolívia e Chile, pois eles só conferem as passagens no final.</t>
  </si>
  <si>
    <t>Tihuanacu</t>
  </si>
  <si>
    <t>La Paz entre aspas</t>
  </si>
  <si>
    <t>LP entre aspas</t>
  </si>
  <si>
    <t>linha reta</t>
  </si>
  <si>
    <t>Terminal Rodov El Alto</t>
  </si>
  <si>
    <t>Term El Alto</t>
  </si>
  <si>
    <t>Terminal Rodov La Paz</t>
  </si>
  <si>
    <t>Rodov La Paz</t>
  </si>
  <si>
    <t>van</t>
  </si>
  <si>
    <t>Chacaltaya e Vale Luna</t>
  </si>
  <si>
    <t>Buho's Tour , calle Sagarnaga 242. Pontuais, atenciosos, responsáveis, atendimento excelente.</t>
  </si>
  <si>
    <t>rodoviária (ida e volta)</t>
  </si>
  <si>
    <t>fui comprar passagens para St Cruz. Não acreditem nos horários de sites e placas dos guichês. Tem que perguntar ao atendente sobre os horários. Na Bolívia, não vale o que está escrito.</t>
  </si>
  <si>
    <t>flota cosmos. Só dá direito a uma bagagem no bagageiro, o restante tem  que ir como bagagem de mão. Durante a noite, entram umas crianças desafinadas cantando e atrapalhando seu sono, ônibus anda a 5km/h ou melhor, não anda. Ônibus cama/leito é só no nome. entra e sai gente vendendo coisa, inclusive a noite.</t>
  </si>
  <si>
    <t>Tão temido trem da morte. É só mito. Quanto ao conforto, é inúmeras vezes melhor que os ônibus bolivianos, sem comparação. As comidas que os ambulantes vendem durante a viagem têm aspecto e cheiro bom. Vale comprar um churrasquinho à noite, 5 Bs cada espeto. Quanto as bagagens, o local para pôr a bagagem de mão é imenso, cabe até mala e bolsa de viagem. todavia, como não sabia disso, acabei despachando pelo bagageiro, muito organizado e a bagagem só é retirada mediante senha. Durante a noite, fechar as janelas do trem por medida de segurança. Levar repelente.</t>
  </si>
  <si>
    <t>DG</t>
  </si>
  <si>
    <t>Nada melhor do que os amigos! Fui de carona.</t>
  </si>
  <si>
    <t>Rachei gasolina. Mas somente a Empresa Cruzeiro do Sul faz este trajeto por 60 reais.</t>
  </si>
  <si>
    <t>Rachei gasolina. Mas somente a Empresa Cruzeiro do Sul faz este trajeto por 55 reais.</t>
  </si>
  <si>
    <t>Taxi do aeroporto até casa</t>
  </si>
  <si>
    <t>bandeira 2, fazer o quê?</t>
  </si>
  <si>
    <t>Vôo Trip. Call Center incompetente, serviço on-line insuficiente de recurso. esse é o mal da falta de concorrência! Faz muitas escalas. Só não passei em Fortaleza porque o piloto deve ter esquecido. Se você quer conhecer uns 18 ou 20 estados brasileiros em um dia, voe pela Trip. Bom que passei em Curitiba, lugar de gente bonita e cada escala ganhava um lanchinho e uma com direito a sobra de suco. Dale repeteco! a única coisa boa da viagem: Lanche e piloto. Mas se eu quisesse exclência em lanche, procuraria um restaurante.</t>
  </si>
  <si>
    <t>total BRASIL x Exterior</t>
  </si>
  <si>
    <t>Casa até Guarulhos</t>
  </si>
  <si>
    <r>
      <t xml:space="preserve">geral de bala </t>
    </r>
    <r>
      <rPr>
        <b/>
        <sz val="14"/>
        <color indexed="12"/>
        <rFont val="Arial"/>
        <family val="2"/>
      </rPr>
      <t>TRANSPORTE</t>
    </r>
  </si>
  <si>
    <t>Superatenciosos, próximo ao metrô, local limpo, atendimento excelente, embora a proximidade à vida noturna, o local é silencioso, internet 24h, mercado na esquina...EXCELENTE!!!</t>
  </si>
  <si>
    <t>Longe do Centro devido a falta de iluminação da rua. Água quente 24h, cozinha. Custo/benefício mediano.</t>
  </si>
  <si>
    <t>Hostal La Casona</t>
  </si>
  <si>
    <t>single s/bh</t>
  </si>
  <si>
    <t>6p s/bh</t>
  </si>
  <si>
    <t>2p s/bh</t>
  </si>
  <si>
    <t>8p s/bh</t>
  </si>
  <si>
    <t>Hostal Loki</t>
  </si>
  <si>
    <t>Calle Loyaza</t>
  </si>
  <si>
    <t>Calle Las Parinas próx cemitério</t>
  </si>
  <si>
    <t>Água quente só durante parte do dia. Check-out absurdamente às 10h30. Demora um tempão pra servir o café. Atendimento e serviços ruins, quartos e localização excelentes.</t>
  </si>
  <si>
    <t>Atendimento , infra-estrutura, localização, serviços: Excelente.</t>
  </si>
  <si>
    <t>Casa do Z (Zotro,rsrs)</t>
  </si>
  <si>
    <t>Bom rever os amigos</t>
  </si>
  <si>
    <t>CAMPO GRANDE</t>
  </si>
  <si>
    <t>Casa do Z kkkkk</t>
  </si>
  <si>
    <t>Pousada Sucuri</t>
  </si>
  <si>
    <t>single c/bh, ar cond, tv</t>
  </si>
  <si>
    <t xml:space="preserve">Limpo, aconchegante, atendimento, infra-estrutura, localização, serviços: Excelente. </t>
  </si>
  <si>
    <t>270 PCL</t>
  </si>
  <si>
    <t>7 BOL</t>
  </si>
  <si>
    <t xml:space="preserve"> =US$1,00</t>
  </si>
  <si>
    <t xml:space="preserve"> =R$1,84</t>
  </si>
  <si>
    <t>BISCOITO DE CAMELÔ</t>
  </si>
  <si>
    <t>Refri de Gengibre</t>
  </si>
  <si>
    <t>horrível</t>
  </si>
  <si>
    <t>excelente. Olha que eu não bebo refrigerante, hein. Muito bom mérmuuu</t>
  </si>
  <si>
    <t>Marca Canadá Dry</t>
  </si>
  <si>
    <t>qq buteco</t>
  </si>
  <si>
    <t>peixe + batatas</t>
  </si>
  <si>
    <t>Bella Vista</t>
  </si>
  <si>
    <t>era 4800, mas Leo pagou os 800.</t>
  </si>
  <si>
    <t>rsrs. Valeu, Leo!!! Fica pelos bolos.</t>
  </si>
  <si>
    <t>frango, arroz, repolho</t>
  </si>
  <si>
    <t>Mercado Central</t>
  </si>
  <si>
    <t>Bom</t>
  </si>
  <si>
    <t>Ruim, cheiro de podre e carne supercozida, chega tava desmachando. O melhor foi o arroz e o caldo de galinha natural. Por incrível que pareça...</t>
  </si>
  <si>
    <t>Mercado</t>
  </si>
  <si>
    <t>Vicuna Mackenna/ em frente metrô Baquedano</t>
  </si>
  <si>
    <t>iogurte, água</t>
  </si>
  <si>
    <t>Mercado Soc com Sypra</t>
  </si>
  <si>
    <t>água com gás 1,5L</t>
  </si>
  <si>
    <t>água com gás 500mL</t>
  </si>
  <si>
    <t>Bolinhos Mãe Benta</t>
  </si>
  <si>
    <t>Padaria</t>
  </si>
  <si>
    <t>Terminal Alameda</t>
  </si>
  <si>
    <t>Todo Natural</t>
  </si>
  <si>
    <t>Caracoles 271</t>
  </si>
  <si>
    <t>frango, arroz, quinua</t>
  </si>
  <si>
    <t>excelente</t>
  </si>
  <si>
    <t>mediano</t>
  </si>
  <si>
    <t>bom</t>
  </si>
  <si>
    <t>em Calama</t>
  </si>
  <si>
    <t xml:space="preserve">1/4 de frango assado </t>
  </si>
  <si>
    <t>Tchiuchi</t>
  </si>
  <si>
    <t>Toconao 424 B</t>
  </si>
  <si>
    <t>frango assado inteiro</t>
  </si>
  <si>
    <t>batata porção grande</t>
  </si>
  <si>
    <t>Diversos</t>
  </si>
  <si>
    <t>água</t>
  </si>
  <si>
    <t>água 9L</t>
  </si>
  <si>
    <t>hamurguer, refri, batata</t>
  </si>
  <si>
    <t>ruim</t>
  </si>
  <si>
    <t>Centro</t>
  </si>
  <si>
    <t>suco de maçã</t>
  </si>
  <si>
    <t>alfajor, costa</t>
  </si>
  <si>
    <t>exclente alfajor gigante e gostoso por R$1,00 e esse biscoito Frac da marca Costa é tudo de bom</t>
  </si>
  <si>
    <t>Burguer King</t>
  </si>
  <si>
    <t>excelente. Melhor hamburguer de fast food que comi até hoje. Tanto Burguer King do Brasil quanto da Bolívia. Seguem realmente a frnaquia, pois os sanduíches são idênticos</t>
  </si>
  <si>
    <t>batata chips</t>
  </si>
  <si>
    <t>péssimo</t>
  </si>
  <si>
    <t>barraca de rua</t>
  </si>
  <si>
    <t>biscoitos Frac da Costa, sucos de cx...</t>
  </si>
  <si>
    <t>4 hamb, 3 batat, 1 suco, 1 refri</t>
  </si>
  <si>
    <t>sorvete</t>
  </si>
  <si>
    <t>frango, arroz, fritas, 2sucos</t>
  </si>
  <si>
    <t>2 Frac (viciou, rsrs)</t>
  </si>
  <si>
    <t>terminal Bimodal</t>
  </si>
  <si>
    <t>Frac 2, 1 springles</t>
  </si>
  <si>
    <t>churrasquinho 3 espetos</t>
  </si>
  <si>
    <t>no trem</t>
  </si>
  <si>
    <t>Ambulante</t>
  </si>
  <si>
    <t>barraca de rodoviaria</t>
  </si>
  <si>
    <t>comprinhas</t>
  </si>
  <si>
    <t>jacaré</t>
  </si>
  <si>
    <t>salgados, bolos, bebidas, biscoitos na estrada</t>
  </si>
  <si>
    <t>caminho para Bonito</t>
  </si>
  <si>
    <t>Zero Hora</t>
  </si>
  <si>
    <t xml:space="preserve">água </t>
  </si>
  <si>
    <t>água, refri, batata</t>
  </si>
  <si>
    <t>coma a vontade</t>
  </si>
  <si>
    <t>pizza rodízio</t>
  </si>
  <si>
    <t>refeição</t>
  </si>
  <si>
    <t>SUPÉRFLUOS</t>
  </si>
  <si>
    <t>zona franca quijarro</t>
  </si>
  <si>
    <t>adaptador eletrico</t>
  </si>
  <si>
    <t>lâmina</t>
  </si>
  <si>
    <t>internet</t>
  </si>
  <si>
    <t>cartao telefonico</t>
  </si>
  <si>
    <t>free shop</t>
  </si>
  <si>
    <t>sapatos</t>
  </si>
  <si>
    <t>roupas de neve/frio</t>
  </si>
  <si>
    <t>bolsa sapato</t>
  </si>
  <si>
    <t>bolsa camera</t>
  </si>
  <si>
    <t>bíblia espanhol</t>
  </si>
  <si>
    <t>carregar maq</t>
  </si>
  <si>
    <t>buguganga uyuni</t>
  </si>
  <si>
    <t>telefone</t>
  </si>
  <si>
    <t>casacos</t>
  </si>
  <si>
    <t>Investimento de viagem total</t>
  </si>
  <si>
    <t>Custo da viagem (inclusive supérfluos)</t>
  </si>
  <si>
    <t>calça de goleiro</t>
  </si>
  <si>
    <t>Museu da Coca</t>
  </si>
  <si>
    <t>Ruim. nada de interessante. Tem que ler um monte de coisa. Fala sério! Emprestam um livreto e manda a gente ler vários murais. Tá mais para biblioteca do que museu.</t>
  </si>
  <si>
    <t>OBSERVAÇÕES</t>
  </si>
  <si>
    <t xml:space="preserve">Mercado </t>
  </si>
  <si>
    <t>em frente praça principal</t>
  </si>
  <si>
    <t>bom. Com direito a sobremesa. Para região foi barato.</t>
  </si>
  <si>
    <t>sabonete líq</t>
  </si>
  <si>
    <t>desodorante 48h</t>
  </si>
  <si>
    <t>50mL</t>
  </si>
  <si>
    <t>rol-on</t>
  </si>
  <si>
    <t>50 mL</t>
  </si>
  <si>
    <t>125mL</t>
  </si>
  <si>
    <t>bastão</t>
  </si>
  <si>
    <t>não levei</t>
  </si>
  <si>
    <t>100 mL</t>
  </si>
  <si>
    <t>quanto + vagabunda melhor, pois seca mais rápido. Toalhas muito felpudas e com muitos fios trançados demoram a secar.</t>
  </si>
  <si>
    <t>dose única</t>
  </si>
  <si>
    <t>anti-ácido</t>
  </si>
  <si>
    <t>efervescente</t>
  </si>
  <si>
    <t>hipoclorito de sódio</t>
  </si>
  <si>
    <t>anti-gripal</t>
  </si>
  <si>
    <t>comprimidos</t>
  </si>
  <si>
    <t xml:space="preserve">pulover </t>
  </si>
  <si>
    <t>vestindo</t>
  </si>
  <si>
    <t>casaco</t>
  </si>
  <si>
    <t>2poliester, 1 algodão</t>
  </si>
  <si>
    <t>1 algodão, 3 poliéster ou elastano</t>
  </si>
  <si>
    <t>calcinha/biquini</t>
  </si>
  <si>
    <t>sutiã/biquini</t>
  </si>
  <si>
    <t>Usei</t>
  </si>
  <si>
    <t>Material</t>
  </si>
  <si>
    <t>Qtd</t>
  </si>
  <si>
    <t>S</t>
  </si>
  <si>
    <t>N</t>
  </si>
  <si>
    <t>VTM 600usd</t>
  </si>
  <si>
    <t xml:space="preserve">160000pcl + 105 usd espécie +320 reais </t>
  </si>
  <si>
    <t>adaptador de tomada</t>
  </si>
  <si>
    <t>boina</t>
  </si>
  <si>
    <t>meias</t>
  </si>
  <si>
    <t>ganhei 8 pares em Santiago. Então usei estes.</t>
  </si>
  <si>
    <t>Usei apenas 1. a outra substituí por um macacão que comprei em Santiago.</t>
  </si>
  <si>
    <t>Couro sintético, lã</t>
  </si>
  <si>
    <t>1 no pé e outro na bolsa. Comprei 8 pares em Santiago. Toda viagem CHI/BOL usei 2 tênis.</t>
  </si>
  <si>
    <t>bolsa de mão/tira-colo</t>
  </si>
  <si>
    <t>touca de lã</t>
  </si>
  <si>
    <t>ganhei da Le. E-hehehe! Tinha esquecido de levar.</t>
  </si>
  <si>
    <t>uma ganhei do Leo. E-hehehe!</t>
  </si>
  <si>
    <t>Bagagem para CHILE - BOLÍVIA - Bonito (MS) : 18 dias</t>
  </si>
  <si>
    <t>Obs.: Fui com 9,9 Kg e retornei com 23,6kg.</t>
  </si>
  <si>
    <t>presente do Leo</t>
  </si>
  <si>
    <t>isqueiro</t>
  </si>
  <si>
    <t>miniatura</t>
  </si>
  <si>
    <t>miniaturas de enxaguante bucal, xampu, sabonete, isqueiro (135mL)</t>
  </si>
  <si>
    <t>S 2</t>
  </si>
  <si>
    <t>S 3</t>
  </si>
  <si>
    <t>3 sintéticas, 9 algodão</t>
  </si>
  <si>
    <t>S 8</t>
  </si>
  <si>
    <t>S 1</t>
  </si>
  <si>
    <t>jaqueta impermeável</t>
  </si>
  <si>
    <t>comprei na Bolívia. Usei 1, a outra foi presente</t>
  </si>
  <si>
    <t>Jaqueta jeans</t>
  </si>
  <si>
    <t>Creme de cabelo</t>
  </si>
  <si>
    <t>600g</t>
  </si>
  <si>
    <t>zona franca</t>
  </si>
  <si>
    <t>comprei na Bolívia</t>
  </si>
  <si>
    <t>free shop 120mL</t>
  </si>
  <si>
    <t xml:space="preserve">perfume </t>
  </si>
  <si>
    <t>Creme facial</t>
  </si>
  <si>
    <t>15g</t>
  </si>
  <si>
    <t xml:space="preserve">free shop </t>
  </si>
  <si>
    <t>8 pares</t>
  </si>
  <si>
    <t>Pechincha em Santiago</t>
  </si>
  <si>
    <t>macacão</t>
  </si>
  <si>
    <t>brechó Santiago</t>
  </si>
  <si>
    <t>colete neve</t>
  </si>
  <si>
    <t>calça neve</t>
  </si>
  <si>
    <t>macacão neve</t>
  </si>
  <si>
    <t xml:space="preserve">1 algodão, 7 poliéster ou elastano. Motivo: secagem rápida. </t>
  </si>
  <si>
    <t>calça jeans, cinto</t>
  </si>
  <si>
    <t>Amarelo: foi e voltou</t>
  </si>
  <si>
    <t>Vermelho: comprado fora e levado para casa; Verde: foi e ficou por lá mesmo</t>
  </si>
  <si>
    <t>camisa de Bonito</t>
  </si>
  <si>
    <t>S2</t>
  </si>
  <si>
    <t>turístico</t>
  </si>
  <si>
    <t>O Casarão</t>
  </si>
  <si>
    <t>avenida principal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</si>
</sst>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_);_(* \(#,##0.00\);_(* \-??_);_(@_)"/>
    <numFmt numFmtId="165" formatCode="d/m/yy\ h:mm;@"/>
    <numFmt numFmtId="166" formatCode="mmm/yyyy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[$-416]dddd\,\ d&quot; de &quot;mmmm&quot; de &quot;yyyy"/>
    <numFmt numFmtId="176" formatCode="[$-F400]h:mm:ss\ AM/PM"/>
    <numFmt numFmtId="177" formatCode="h:mm;@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6">
    <font>
      <sz val="10"/>
      <name val="Arial"/>
      <family val="2"/>
    </font>
    <font>
      <sz val="18"/>
      <color indexed="18"/>
      <name val="Arial Black"/>
      <family val="2"/>
    </font>
    <font>
      <sz val="10"/>
      <color indexed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0"/>
      <name val="Arial"/>
      <family val="2"/>
    </font>
    <font>
      <sz val="10"/>
      <name val="Agency FB"/>
      <family val="2"/>
    </font>
    <font>
      <b/>
      <sz val="10"/>
      <name val="Berlin Sans FB Demi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sz val="10"/>
      <color indexed="13"/>
      <name val="Arial"/>
      <family val="2"/>
    </font>
    <font>
      <strike/>
      <sz val="10"/>
      <color indexed="62"/>
      <name val="Arial"/>
      <family val="2"/>
    </font>
    <font>
      <b/>
      <sz val="10"/>
      <color indexed="13"/>
      <name val="Berlin Sans FB Demi"/>
      <family val="2"/>
    </font>
    <font>
      <i/>
      <sz val="24"/>
      <color indexed="13"/>
      <name val="Brush Script MT"/>
      <family val="4"/>
    </font>
    <font>
      <sz val="11"/>
      <color indexed="13"/>
      <name val="Calibri"/>
      <family val="2"/>
    </font>
    <font>
      <sz val="11"/>
      <color indexed="53"/>
      <name val="Calibri"/>
      <family val="2"/>
    </font>
    <font>
      <sz val="8"/>
      <color indexed="8"/>
      <name val="Calibri"/>
      <family val="2"/>
    </font>
    <font>
      <sz val="11"/>
      <color indexed="8"/>
      <name val="Agency FB"/>
      <family val="2"/>
    </font>
    <font>
      <sz val="11"/>
      <color indexed="54"/>
      <name val="Calibri"/>
      <family val="2"/>
    </font>
    <font>
      <sz val="8.8"/>
      <color indexed="8"/>
      <name val="Arial"/>
      <family val="2"/>
    </font>
    <font>
      <strike/>
      <sz val="11"/>
      <color indexed="8"/>
      <name val="Calibri"/>
      <family val="2"/>
    </font>
    <font>
      <sz val="20"/>
      <color indexed="13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sz val="14"/>
      <color indexed="13"/>
      <name val="Arial Narrow"/>
      <family val="2"/>
    </font>
    <font>
      <sz val="11"/>
      <color indexed="2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8"/>
      <color indexed="13"/>
      <name val="Arial"/>
      <family val="2"/>
    </font>
    <font>
      <u val="single"/>
      <sz val="10"/>
      <color indexed="2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1" fillId="2" borderId="1" applyNumberFormat="0" applyAlignment="0" applyProtection="0"/>
    <xf numFmtId="0" fontId="32" fillId="12" borderId="2" applyNumberFormat="0" applyAlignment="0" applyProtection="0"/>
    <xf numFmtId="0" fontId="33" fillId="0" borderId="3" applyNumberFormat="0" applyFill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34" fillId="3" borderId="1" applyNumberFormat="0" applyAlignment="0" applyProtection="0"/>
    <xf numFmtId="0" fontId="3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6" fillId="1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0" fontId="10" fillId="2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28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164" fontId="0" fillId="0" borderId="0" xfId="56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0" fontId="0" fillId="0" borderId="0" xfId="0" applyAlignment="1">
      <alignment textRotation="90" wrapText="1"/>
    </xf>
    <xf numFmtId="49" fontId="0" fillId="18" borderId="0" xfId="0" applyNumberFormat="1" applyFill="1" applyAlignment="1">
      <alignment/>
    </xf>
    <xf numFmtId="0" fontId="0" fillId="18" borderId="0" xfId="0" applyFill="1" applyAlignment="1">
      <alignment wrapText="1"/>
    </xf>
    <xf numFmtId="0" fontId="0" fillId="18" borderId="0" xfId="0" applyFill="1" applyAlignment="1">
      <alignment/>
    </xf>
    <xf numFmtId="164" fontId="0" fillId="18" borderId="0" xfId="56" applyFont="1" applyFill="1" applyBorder="1" applyAlignment="1" applyProtection="1">
      <alignment/>
      <protection/>
    </xf>
    <xf numFmtId="165" fontId="0" fillId="18" borderId="0" xfId="0" applyNumberFormat="1" applyFill="1" applyAlignment="1">
      <alignment/>
    </xf>
    <xf numFmtId="0" fontId="0" fillId="18" borderId="0" xfId="0" applyFill="1" applyAlignment="1">
      <alignment textRotation="90" wrapText="1"/>
    </xf>
    <xf numFmtId="0" fontId="0" fillId="18" borderId="0" xfId="0" applyFont="1" applyFill="1" applyAlignment="1">
      <alignment/>
    </xf>
    <xf numFmtId="49" fontId="0" fillId="19" borderId="10" xfId="0" applyNumberFormat="1" applyFill="1" applyBorder="1" applyAlignment="1">
      <alignment/>
    </xf>
    <xf numFmtId="0" fontId="0" fillId="20" borderId="10" xfId="0" applyFont="1" applyFill="1" applyBorder="1" applyAlignment="1">
      <alignment wrapText="1"/>
    </xf>
    <xf numFmtId="0" fontId="2" fillId="19" borderId="11" xfId="0" applyFont="1" applyFill="1" applyBorder="1" applyAlignment="1">
      <alignment wrapText="1"/>
    </xf>
    <xf numFmtId="0" fontId="0" fillId="20" borderId="11" xfId="0" applyFont="1" applyFill="1" applyBorder="1" applyAlignment="1">
      <alignment wrapText="1"/>
    </xf>
    <xf numFmtId="0" fontId="0" fillId="19" borderId="11" xfId="0" applyFont="1" applyFill="1" applyBorder="1" applyAlignment="1">
      <alignment/>
    </xf>
    <xf numFmtId="164" fontId="0" fillId="20" borderId="11" xfId="56" applyFont="1" applyFill="1" applyBorder="1" applyAlignment="1" applyProtection="1">
      <alignment/>
      <protection/>
    </xf>
    <xf numFmtId="164" fontId="0" fillId="19" borderId="11" xfId="56" applyFont="1" applyFill="1" applyBorder="1" applyAlignment="1" applyProtection="1">
      <alignment/>
      <protection/>
    </xf>
    <xf numFmtId="164" fontId="0" fillId="21" borderId="11" xfId="56" applyFont="1" applyFill="1" applyBorder="1" applyAlignment="1" applyProtection="1">
      <alignment/>
      <protection/>
    </xf>
    <xf numFmtId="0" fontId="0" fillId="20" borderId="11" xfId="0" applyFont="1" applyFill="1" applyBorder="1" applyAlignment="1">
      <alignment/>
    </xf>
    <xf numFmtId="165" fontId="0" fillId="19" borderId="11" xfId="0" applyNumberFormat="1" applyFill="1" applyBorder="1" applyAlignment="1">
      <alignment/>
    </xf>
    <xf numFmtId="165" fontId="0" fillId="20" borderId="11" xfId="0" applyNumberFormat="1" applyFont="1" applyFill="1" applyBorder="1" applyAlignment="1">
      <alignment/>
    </xf>
    <xf numFmtId="49" fontId="0" fillId="19" borderId="11" xfId="0" applyNumberFormat="1" applyFill="1" applyBorder="1" applyAlignment="1">
      <alignment/>
    </xf>
    <xf numFmtId="0" fontId="0" fillId="20" borderId="11" xfId="0" applyFill="1" applyBorder="1" applyAlignment="1">
      <alignment wrapText="1"/>
    </xf>
    <xf numFmtId="0" fontId="0" fillId="19" borderId="11" xfId="0" applyFont="1" applyFill="1" applyBorder="1" applyAlignment="1">
      <alignment wrapText="1"/>
    </xf>
    <xf numFmtId="0" fontId="3" fillId="20" borderId="11" xfId="0" applyFont="1" applyFill="1" applyBorder="1" applyAlignment="1">
      <alignment/>
    </xf>
    <xf numFmtId="0" fontId="0" fillId="22" borderId="11" xfId="0" applyFont="1" applyFill="1" applyBorder="1" applyAlignment="1">
      <alignment wrapText="1"/>
    </xf>
    <xf numFmtId="164" fontId="0" fillId="23" borderId="11" xfId="56" applyFont="1" applyFill="1" applyBorder="1" applyAlignment="1" applyProtection="1">
      <alignment/>
      <protection/>
    </xf>
    <xf numFmtId="164" fontId="0" fillId="20" borderId="11" xfId="0" applyNumberFormat="1" applyFill="1" applyBorder="1" applyAlignment="1">
      <alignment/>
    </xf>
    <xf numFmtId="0" fontId="0" fillId="19" borderId="11" xfId="0" applyFill="1" applyBorder="1" applyAlignment="1">
      <alignment textRotation="90" wrapText="1"/>
    </xf>
    <xf numFmtId="0" fontId="4" fillId="20" borderId="11" xfId="0" applyFont="1" applyFill="1" applyBorder="1" applyAlignment="1">
      <alignment horizontal="justify"/>
    </xf>
    <xf numFmtId="164" fontId="0" fillId="24" borderId="11" xfId="56" applyFont="1" applyFill="1" applyBorder="1" applyAlignment="1" applyProtection="1">
      <alignment/>
      <protection/>
    </xf>
    <xf numFmtId="0" fontId="3" fillId="20" borderId="11" xfId="0" applyFont="1" applyFill="1" applyBorder="1" applyAlignment="1">
      <alignment wrapText="1"/>
    </xf>
    <xf numFmtId="0" fontId="0" fillId="0" borderId="0" xfId="0" applyBorder="1" applyAlignment="1">
      <alignment/>
    </xf>
    <xf numFmtId="49" fontId="5" fillId="19" borderId="0" xfId="0" applyNumberFormat="1" applyFont="1" applyFill="1" applyBorder="1" applyAlignment="1">
      <alignment/>
    </xf>
    <xf numFmtId="0" fontId="5" fillId="20" borderId="0" xfId="0" applyFont="1" applyFill="1" applyBorder="1" applyAlignment="1">
      <alignment wrapText="1"/>
    </xf>
    <xf numFmtId="0" fontId="5" fillId="19" borderId="0" xfId="0" applyFont="1" applyFill="1" applyBorder="1" applyAlignment="1">
      <alignment wrapText="1"/>
    </xf>
    <xf numFmtId="0" fontId="5" fillId="19" borderId="0" xfId="0" applyFont="1" applyFill="1" applyBorder="1" applyAlignment="1">
      <alignment/>
    </xf>
    <xf numFmtId="0" fontId="5" fillId="19" borderId="0" xfId="0" applyFont="1" applyFill="1" applyBorder="1" applyAlignment="1">
      <alignment textRotation="90" wrapText="1"/>
    </xf>
    <xf numFmtId="0" fontId="5" fillId="2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19" borderId="10" xfId="0" applyFill="1" applyBorder="1" applyAlignment="1">
      <alignment wrapText="1"/>
    </xf>
    <xf numFmtId="0" fontId="0" fillId="19" borderId="10" xfId="0" applyFill="1" applyBorder="1" applyAlignment="1">
      <alignment/>
    </xf>
    <xf numFmtId="0" fontId="0" fillId="19" borderId="10" xfId="0" applyFill="1" applyBorder="1" applyAlignment="1">
      <alignment textRotation="90" wrapText="1"/>
    </xf>
    <xf numFmtId="0" fontId="0" fillId="20" borderId="10" xfId="0" applyFill="1" applyBorder="1" applyAlignment="1">
      <alignment/>
    </xf>
    <xf numFmtId="0" fontId="0" fillId="0" borderId="10" xfId="0" applyBorder="1" applyAlignment="1">
      <alignment/>
    </xf>
    <xf numFmtId="0" fontId="0" fillId="20" borderId="0" xfId="0" applyFill="1" applyBorder="1" applyAlignment="1">
      <alignment wrapText="1"/>
    </xf>
    <xf numFmtId="0" fontId="0" fillId="19" borderId="0" xfId="0" applyFill="1" applyBorder="1" applyAlignment="1">
      <alignment wrapText="1"/>
    </xf>
    <xf numFmtId="0" fontId="0" fillId="20" borderId="0" xfId="0" applyFont="1" applyFill="1" applyBorder="1" applyAlignment="1">
      <alignment wrapText="1"/>
    </xf>
    <xf numFmtId="0" fontId="0" fillId="19" borderId="0" xfId="0" applyFill="1" applyBorder="1" applyAlignment="1">
      <alignment/>
    </xf>
    <xf numFmtId="0" fontId="0" fillId="19" borderId="0" xfId="0" applyFill="1" applyBorder="1" applyAlignment="1">
      <alignment textRotation="90" wrapText="1"/>
    </xf>
    <xf numFmtId="0" fontId="0" fillId="20" borderId="0" xfId="0" applyFill="1" applyBorder="1" applyAlignment="1">
      <alignment/>
    </xf>
    <xf numFmtId="0" fontId="0" fillId="20" borderId="12" xfId="0" applyFill="1" applyBorder="1" applyAlignment="1">
      <alignment wrapText="1"/>
    </xf>
    <xf numFmtId="0" fontId="2" fillId="19" borderId="12" xfId="0" applyFont="1" applyFill="1" applyBorder="1" applyAlignment="1">
      <alignment wrapText="1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textRotation="90" wrapText="1"/>
    </xf>
    <xf numFmtId="0" fontId="0" fillId="20" borderId="12" xfId="0" applyFill="1" applyBorder="1" applyAlignment="1">
      <alignment/>
    </xf>
    <xf numFmtId="0" fontId="0" fillId="0" borderId="12" xfId="0" applyBorder="1" applyAlignment="1">
      <alignment/>
    </xf>
    <xf numFmtId="0" fontId="0" fillId="19" borderId="12" xfId="0" applyFill="1" applyBorder="1" applyAlignment="1">
      <alignment wrapText="1"/>
    </xf>
    <xf numFmtId="0" fontId="0" fillId="20" borderId="12" xfId="0" applyFont="1" applyFill="1" applyBorder="1" applyAlignment="1">
      <alignment wrapText="1"/>
    </xf>
    <xf numFmtId="0" fontId="5" fillId="20" borderId="11" xfId="0" applyFont="1" applyFill="1" applyBorder="1" applyAlignment="1">
      <alignment wrapText="1"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164" fontId="0" fillId="0" borderId="11" xfId="56" applyFont="1" applyFill="1" applyBorder="1" applyAlignment="1" applyProtection="1">
      <alignment/>
      <protection/>
    </xf>
    <xf numFmtId="165" fontId="0" fillId="0" borderId="11" xfId="0" applyNumberFormat="1" applyBorder="1" applyAlignment="1">
      <alignment/>
    </xf>
    <xf numFmtId="0" fontId="0" fillId="0" borderId="11" xfId="0" applyBorder="1" applyAlignment="1">
      <alignment textRotation="90" wrapText="1"/>
    </xf>
    <xf numFmtId="0" fontId="0" fillId="0" borderId="0" xfId="0" applyFont="1" applyAlignment="1">
      <alignment wrapText="1"/>
    </xf>
    <xf numFmtId="164" fontId="0" fillId="19" borderId="10" xfId="56" applyFont="1" applyFill="1" applyBorder="1" applyAlignment="1" applyProtection="1">
      <alignment/>
      <protection/>
    </xf>
    <xf numFmtId="0" fontId="0" fillId="21" borderId="0" xfId="0" applyFont="1" applyFill="1" applyAlignment="1">
      <alignment/>
    </xf>
    <xf numFmtId="0" fontId="0" fillId="24" borderId="0" xfId="0" applyFill="1" applyAlignment="1">
      <alignment/>
    </xf>
    <xf numFmtId="0" fontId="0" fillId="23" borderId="0" xfId="0" applyFont="1" applyFill="1" applyAlignment="1">
      <alignment/>
    </xf>
    <xf numFmtId="0" fontId="0" fillId="22" borderId="0" xfId="0" applyFont="1" applyFill="1" applyAlignment="1">
      <alignment/>
    </xf>
    <xf numFmtId="2" fontId="0" fillId="0" borderId="0" xfId="0" applyNumberFormat="1" applyAlignment="1">
      <alignment/>
    </xf>
    <xf numFmtId="0" fontId="0" fillId="25" borderId="0" xfId="0" applyFill="1" applyAlignment="1">
      <alignment/>
    </xf>
    <xf numFmtId="2" fontId="0" fillId="25" borderId="0" xfId="0" applyNumberFormat="1" applyFill="1" applyAlignment="1">
      <alignment/>
    </xf>
    <xf numFmtId="0" fontId="0" fillId="8" borderId="0" xfId="0" applyFill="1" applyAlignment="1">
      <alignment/>
    </xf>
    <xf numFmtId="2" fontId="0" fillId="8" borderId="0" xfId="0" applyNumberFormat="1" applyFill="1" applyAlignment="1">
      <alignment/>
    </xf>
    <xf numFmtId="0" fontId="0" fillId="5" borderId="0" xfId="0" applyFill="1" applyAlignment="1">
      <alignment/>
    </xf>
    <xf numFmtId="2" fontId="0" fillId="5" borderId="0" xfId="0" applyNumberFormat="1" applyFill="1" applyAlignment="1">
      <alignment/>
    </xf>
    <xf numFmtId="0" fontId="12" fillId="5" borderId="0" xfId="0" applyFont="1" applyFill="1" applyAlignment="1">
      <alignment/>
    </xf>
    <xf numFmtId="2" fontId="12" fillId="5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2" fontId="13" fillId="2" borderId="0" xfId="0" applyNumberFormat="1" applyFont="1" applyFill="1" applyAlignment="1">
      <alignment/>
    </xf>
    <xf numFmtId="0" fontId="0" fillId="0" borderId="13" xfId="0" applyBorder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16" fontId="0" fillId="3" borderId="0" xfId="0" applyNumberFormat="1" applyFill="1" applyAlignment="1">
      <alignment/>
    </xf>
    <xf numFmtId="20" fontId="0" fillId="3" borderId="0" xfId="0" applyNumberFormat="1" applyFill="1" applyAlignment="1">
      <alignment/>
    </xf>
    <xf numFmtId="0" fontId="7" fillId="25" borderId="0" xfId="0" applyFont="1" applyFill="1" applyAlignment="1">
      <alignment/>
    </xf>
    <xf numFmtId="16" fontId="7" fillId="25" borderId="0" xfId="0" applyNumberFormat="1" applyFont="1" applyFill="1" applyAlignment="1">
      <alignment/>
    </xf>
    <xf numFmtId="2" fontId="7" fillId="25" borderId="0" xfId="0" applyNumberFormat="1" applyFont="1" applyFill="1" applyAlignment="1">
      <alignment/>
    </xf>
    <xf numFmtId="0" fontId="0" fillId="3" borderId="0" xfId="0" applyFill="1" applyAlignment="1">
      <alignment wrapText="1"/>
    </xf>
    <xf numFmtId="0" fontId="14" fillId="26" borderId="0" xfId="0" applyFont="1" applyFill="1" applyAlignment="1">
      <alignment/>
    </xf>
    <xf numFmtId="2" fontId="14" fillId="26" borderId="0" xfId="0" applyNumberFormat="1" applyFont="1" applyFill="1" applyAlignment="1">
      <alignment/>
    </xf>
    <xf numFmtId="0" fontId="13" fillId="2" borderId="0" xfId="0" applyFont="1" applyFill="1" applyAlignment="1">
      <alignment horizontal="center"/>
    </xf>
    <xf numFmtId="2" fontId="0" fillId="0" borderId="13" xfId="0" applyNumberFormat="1" applyBorder="1" applyAlignment="1">
      <alignment/>
    </xf>
    <xf numFmtId="0" fontId="0" fillId="0" borderId="0" xfId="0" applyFill="1" applyAlignment="1">
      <alignment/>
    </xf>
    <xf numFmtId="0" fontId="7" fillId="25" borderId="0" xfId="0" applyFont="1" applyFill="1" applyAlignment="1">
      <alignment horizontal="center" vertical="center"/>
    </xf>
    <xf numFmtId="0" fontId="7" fillId="25" borderId="0" xfId="0" applyFont="1" applyFill="1" applyAlignment="1">
      <alignment horizontal="center" vertical="center" wrapText="1"/>
    </xf>
    <xf numFmtId="16" fontId="7" fillId="25" borderId="0" xfId="0" applyNumberFormat="1" applyFont="1" applyFill="1" applyAlignment="1">
      <alignment horizontal="center" vertical="center"/>
    </xf>
    <xf numFmtId="2" fontId="7" fillId="25" borderId="0" xfId="0" applyNumberFormat="1" applyFont="1" applyFill="1" applyAlignment="1">
      <alignment horizontal="center" vertical="center"/>
    </xf>
    <xf numFmtId="0" fontId="0" fillId="6" borderId="0" xfId="0" applyFill="1" applyAlignment="1">
      <alignment/>
    </xf>
    <xf numFmtId="0" fontId="0" fillId="6" borderId="0" xfId="0" applyFill="1" applyAlignment="1">
      <alignment wrapText="1"/>
    </xf>
    <xf numFmtId="2" fontId="0" fillId="6" borderId="0" xfId="0" applyNumberFormat="1" applyFill="1" applyAlignment="1">
      <alignment/>
    </xf>
    <xf numFmtId="20" fontId="0" fillId="0" borderId="13" xfId="0" applyNumberFormat="1" applyBorder="1" applyAlignment="1">
      <alignment/>
    </xf>
    <xf numFmtId="2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20" fontId="0" fillId="0" borderId="13" xfId="0" applyNumberFormat="1" applyBorder="1" applyAlignment="1">
      <alignment horizontal="right"/>
    </xf>
    <xf numFmtId="0" fontId="15" fillId="5" borderId="0" xfId="0" applyFont="1" applyFill="1" applyAlignment="1">
      <alignment/>
    </xf>
    <xf numFmtId="2" fontId="15" fillId="5" borderId="0" xfId="0" applyNumberFormat="1" applyFont="1" applyFill="1" applyAlignment="1">
      <alignment/>
    </xf>
    <xf numFmtId="2" fontId="8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5" borderId="0" xfId="0" applyFont="1" applyFill="1" applyAlignment="1">
      <alignment/>
    </xf>
    <xf numFmtId="2" fontId="8" fillId="5" borderId="0" xfId="0" applyNumberFormat="1" applyFont="1" applyFill="1" applyAlignment="1">
      <alignment/>
    </xf>
    <xf numFmtId="0" fontId="6" fillId="0" borderId="13" xfId="0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25" borderId="0" xfId="0" applyFont="1" applyFill="1" applyAlignment="1">
      <alignment/>
    </xf>
    <xf numFmtId="2" fontId="0" fillId="25" borderId="0" xfId="0" applyNumberFormat="1" applyFont="1" applyFill="1" applyAlignment="1">
      <alignment/>
    </xf>
    <xf numFmtId="0" fontId="0" fillId="4" borderId="13" xfId="0" applyFill="1" applyBorder="1" applyAlignment="1">
      <alignment horizontal="right"/>
    </xf>
    <xf numFmtId="20" fontId="0" fillId="4" borderId="13" xfId="0" applyNumberFormat="1" applyFill="1" applyBorder="1" applyAlignment="1">
      <alignment horizontal="right"/>
    </xf>
    <xf numFmtId="0" fontId="8" fillId="4" borderId="13" xfId="0" applyFont="1" applyFill="1" applyBorder="1" applyAlignment="1">
      <alignment horizontal="right"/>
    </xf>
    <xf numFmtId="0" fontId="0" fillId="4" borderId="13" xfId="0" applyFont="1" applyFill="1" applyBorder="1" applyAlignment="1">
      <alignment horizontal="right"/>
    </xf>
    <xf numFmtId="0" fontId="6" fillId="4" borderId="13" xfId="0" applyFont="1" applyFill="1" applyBorder="1" applyAlignment="1">
      <alignment horizontal="right"/>
    </xf>
    <xf numFmtId="0" fontId="0" fillId="4" borderId="13" xfId="0" applyFill="1" applyBorder="1" applyAlignment="1">
      <alignment/>
    </xf>
    <xf numFmtId="177" fontId="0" fillId="4" borderId="13" xfId="0" applyNumberFormat="1" applyFill="1" applyBorder="1" applyAlignment="1">
      <alignment/>
    </xf>
    <xf numFmtId="177" fontId="0" fillId="0" borderId="0" xfId="0" applyNumberFormat="1" applyAlignment="1">
      <alignment/>
    </xf>
    <xf numFmtId="177" fontId="13" fillId="2" borderId="0" xfId="0" applyNumberFormat="1" applyFont="1" applyFill="1" applyAlignment="1">
      <alignment horizontal="center"/>
    </xf>
    <xf numFmtId="177" fontId="0" fillId="4" borderId="13" xfId="0" applyNumberFormat="1" applyFill="1" applyBorder="1" applyAlignment="1">
      <alignment horizontal="right"/>
    </xf>
    <xf numFmtId="177" fontId="8" fillId="4" borderId="13" xfId="0" applyNumberFormat="1" applyFont="1" applyFill="1" applyBorder="1" applyAlignment="1">
      <alignment horizontal="right"/>
    </xf>
    <xf numFmtId="177" fontId="0" fillId="4" borderId="13" xfId="0" applyNumberFormat="1" applyFont="1" applyFill="1" applyBorder="1" applyAlignment="1">
      <alignment horizontal="right"/>
    </xf>
    <xf numFmtId="1" fontId="0" fillId="0" borderId="0" xfId="0" applyNumberFormat="1" applyAlignment="1">
      <alignment/>
    </xf>
    <xf numFmtId="1" fontId="13" fillId="2" borderId="0" xfId="0" applyNumberFormat="1" applyFont="1" applyFill="1" applyAlignment="1">
      <alignment/>
    </xf>
    <xf numFmtId="1" fontId="0" fillId="4" borderId="13" xfId="0" applyNumberFormat="1" applyFill="1" applyBorder="1" applyAlignment="1">
      <alignment horizontal="right"/>
    </xf>
    <xf numFmtId="1" fontId="8" fillId="4" borderId="13" xfId="0" applyNumberFormat="1" applyFont="1" applyFill="1" applyBorder="1" applyAlignment="1">
      <alignment horizontal="right"/>
    </xf>
    <xf numFmtId="1" fontId="0" fillId="4" borderId="13" xfId="0" applyNumberFormat="1" applyFont="1" applyFill="1" applyBorder="1" applyAlignment="1">
      <alignment horizontal="right"/>
    </xf>
    <xf numFmtId="1" fontId="0" fillId="4" borderId="13" xfId="0" applyNumberFormat="1" applyFill="1" applyBorder="1" applyAlignment="1">
      <alignment/>
    </xf>
    <xf numFmtId="0" fontId="0" fillId="0" borderId="1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" fontId="0" fillId="4" borderId="15" xfId="0" applyNumberFormat="1" applyFill="1" applyBorder="1" applyAlignment="1">
      <alignment/>
    </xf>
    <xf numFmtId="1" fontId="0" fillId="4" borderId="16" xfId="0" applyNumberFormat="1" applyFill="1" applyBorder="1" applyAlignment="1">
      <alignment/>
    </xf>
    <xf numFmtId="0" fontId="9" fillId="0" borderId="0" xfId="52">
      <alignment/>
      <protection/>
    </xf>
    <xf numFmtId="0" fontId="9" fillId="25" borderId="0" xfId="52" applyFill="1">
      <alignment/>
      <protection/>
    </xf>
    <xf numFmtId="0" fontId="9" fillId="8" borderId="0" xfId="52" applyFill="1">
      <alignment/>
      <protection/>
    </xf>
    <xf numFmtId="0" fontId="9" fillId="7" borderId="0" xfId="52" applyFill="1">
      <alignment/>
      <protection/>
    </xf>
    <xf numFmtId="2" fontId="13" fillId="2" borderId="0" xfId="52" applyNumberFormat="1" applyFont="1" applyFill="1">
      <alignment/>
      <protection/>
    </xf>
    <xf numFmtId="177" fontId="13" fillId="2" borderId="0" xfId="52" applyNumberFormat="1" applyFont="1" applyFill="1" applyAlignment="1">
      <alignment horizontal="center"/>
      <protection/>
    </xf>
    <xf numFmtId="0" fontId="13" fillId="2" borderId="0" xfId="52" applyFont="1" applyFill="1" applyAlignment="1">
      <alignment horizontal="center"/>
      <protection/>
    </xf>
    <xf numFmtId="1" fontId="13" fillId="2" borderId="0" xfId="52" applyNumberFormat="1" applyFont="1" applyFill="1">
      <alignment/>
      <protection/>
    </xf>
    <xf numFmtId="0" fontId="9" fillId="4" borderId="13" xfId="52" applyFill="1" applyBorder="1">
      <alignment/>
      <protection/>
    </xf>
    <xf numFmtId="177" fontId="9" fillId="4" borderId="13" xfId="52" applyNumberFormat="1" applyFill="1" applyBorder="1">
      <alignment/>
      <protection/>
    </xf>
    <xf numFmtId="2" fontId="9" fillId="8" borderId="0" xfId="52" applyNumberFormat="1" applyFill="1">
      <alignment/>
      <protection/>
    </xf>
    <xf numFmtId="1" fontId="9" fillId="4" borderId="13" xfId="52" applyNumberFormat="1" applyFill="1" applyBorder="1" applyAlignment="1">
      <alignment horizontal="right"/>
      <protection/>
    </xf>
    <xf numFmtId="0" fontId="9" fillId="4" borderId="13" xfId="52" applyFill="1" applyBorder="1" applyAlignment="1">
      <alignment horizontal="right"/>
      <protection/>
    </xf>
    <xf numFmtId="177" fontId="9" fillId="4" borderId="13" xfId="52" applyNumberFormat="1" applyFill="1" applyBorder="1" applyAlignment="1">
      <alignment horizontal="right"/>
      <protection/>
    </xf>
    <xf numFmtId="20" fontId="9" fillId="4" borderId="13" xfId="52" applyNumberFormat="1" applyFill="1" applyBorder="1" applyAlignment="1">
      <alignment horizontal="right"/>
      <protection/>
    </xf>
    <xf numFmtId="0" fontId="9" fillId="25" borderId="15" xfId="52" applyFill="1" applyBorder="1">
      <alignment/>
      <protection/>
    </xf>
    <xf numFmtId="0" fontId="9" fillId="8" borderId="17" xfId="52" applyFill="1" applyBorder="1">
      <alignment/>
      <protection/>
    </xf>
    <xf numFmtId="0" fontId="9" fillId="7" borderId="17" xfId="52" applyFill="1" applyBorder="1">
      <alignment/>
      <protection/>
    </xf>
    <xf numFmtId="2" fontId="9" fillId="25" borderId="0" xfId="52" applyNumberFormat="1" applyFill="1">
      <alignment/>
      <protection/>
    </xf>
    <xf numFmtId="0" fontId="15" fillId="5" borderId="0" xfId="52" applyFont="1" applyFill="1">
      <alignment/>
      <protection/>
    </xf>
    <xf numFmtId="2" fontId="15" fillId="5" borderId="0" xfId="52" applyNumberFormat="1" applyFont="1" applyFill="1">
      <alignment/>
      <protection/>
    </xf>
    <xf numFmtId="1" fontId="8" fillId="4" borderId="13" xfId="52" applyNumberFormat="1" applyFont="1" applyFill="1" applyBorder="1" applyAlignment="1">
      <alignment horizontal="right"/>
      <protection/>
    </xf>
    <xf numFmtId="0" fontId="8" fillId="4" borderId="13" xfId="52" applyFont="1" applyFill="1" applyBorder="1" applyAlignment="1">
      <alignment horizontal="right"/>
      <protection/>
    </xf>
    <xf numFmtId="177" fontId="8" fillId="4" borderId="13" xfId="52" applyNumberFormat="1" applyFont="1" applyFill="1" applyBorder="1" applyAlignment="1">
      <alignment horizontal="right"/>
      <protection/>
    </xf>
    <xf numFmtId="0" fontId="12" fillId="5" borderId="0" xfId="52" applyFont="1" applyFill="1">
      <alignment/>
      <protection/>
    </xf>
    <xf numFmtId="2" fontId="12" fillId="5" borderId="0" xfId="52" applyNumberFormat="1" applyFont="1" applyFill="1">
      <alignment/>
      <protection/>
    </xf>
    <xf numFmtId="0" fontId="9" fillId="5" borderId="0" xfId="52" applyFill="1">
      <alignment/>
      <protection/>
    </xf>
    <xf numFmtId="2" fontId="9" fillId="5" borderId="0" xfId="52" applyNumberFormat="1" applyFill="1">
      <alignment/>
      <protection/>
    </xf>
    <xf numFmtId="0" fontId="8" fillId="5" borderId="0" xfId="52" applyFont="1" applyFill="1">
      <alignment/>
      <protection/>
    </xf>
    <xf numFmtId="2" fontId="8" fillId="5" borderId="0" xfId="52" applyNumberFormat="1" applyFont="1" applyFill="1">
      <alignment/>
      <protection/>
    </xf>
    <xf numFmtId="1" fontId="9" fillId="4" borderId="13" xfId="52" applyNumberFormat="1" applyFont="1" applyFill="1" applyBorder="1" applyAlignment="1">
      <alignment horizontal="right"/>
      <protection/>
    </xf>
    <xf numFmtId="0" fontId="9" fillId="4" borderId="13" xfId="52" applyFont="1" applyFill="1" applyBorder="1" applyAlignment="1">
      <alignment horizontal="right"/>
      <protection/>
    </xf>
    <xf numFmtId="177" fontId="9" fillId="4" borderId="13" xfId="52" applyNumberFormat="1" applyFont="1" applyFill="1" applyBorder="1" applyAlignment="1">
      <alignment horizontal="right"/>
      <protection/>
    </xf>
    <xf numFmtId="1" fontId="9" fillId="4" borderId="13" xfId="52" applyNumberFormat="1" applyFill="1" applyBorder="1">
      <alignment/>
      <protection/>
    </xf>
    <xf numFmtId="0" fontId="9" fillId="25" borderId="0" xfId="52" applyFont="1" applyFill="1">
      <alignment/>
      <protection/>
    </xf>
    <xf numFmtId="2" fontId="9" fillId="25" borderId="0" xfId="52" applyNumberFormat="1" applyFont="1" applyFill="1">
      <alignment/>
      <protection/>
    </xf>
    <xf numFmtId="0" fontId="6" fillId="4" borderId="13" xfId="52" applyFont="1" applyFill="1" applyBorder="1" applyAlignment="1">
      <alignment horizontal="right"/>
      <protection/>
    </xf>
    <xf numFmtId="0" fontId="18" fillId="26" borderId="0" xfId="52" applyFont="1" applyFill="1">
      <alignment/>
      <protection/>
    </xf>
    <xf numFmtId="0" fontId="9" fillId="2" borderId="0" xfId="52" applyFill="1">
      <alignment/>
      <protection/>
    </xf>
    <xf numFmtId="0" fontId="19" fillId="5" borderId="0" xfId="52" applyFont="1" applyFill="1">
      <alignment/>
      <protection/>
    </xf>
    <xf numFmtId="0" fontId="19" fillId="9" borderId="0" xfId="52" applyFont="1" applyFill="1">
      <alignment/>
      <protection/>
    </xf>
    <xf numFmtId="20" fontId="9" fillId="2" borderId="0" xfId="52" applyNumberFormat="1" applyFill="1">
      <alignment/>
      <protection/>
    </xf>
    <xf numFmtId="20" fontId="9" fillId="0" borderId="0" xfId="52" applyNumberFormat="1">
      <alignment/>
      <protection/>
    </xf>
    <xf numFmtId="0" fontId="21" fillId="2" borderId="0" xfId="52" applyFont="1" applyFill="1">
      <alignment/>
      <protection/>
    </xf>
    <xf numFmtId="0" fontId="9" fillId="2" borderId="0" xfId="52" applyFont="1" applyFill="1">
      <alignment/>
      <protection/>
    </xf>
    <xf numFmtId="0" fontId="9" fillId="6" borderId="0" xfId="51" applyFill="1">
      <alignment/>
      <protection/>
    </xf>
    <xf numFmtId="0" fontId="9" fillId="0" borderId="0" xfId="51">
      <alignment/>
      <protection/>
    </xf>
    <xf numFmtId="0" fontId="9" fillId="25" borderId="18" xfId="51" applyFill="1" applyBorder="1">
      <alignment/>
      <protection/>
    </xf>
    <xf numFmtId="0" fontId="9" fillId="6" borderId="18" xfId="51" applyFill="1" applyBorder="1">
      <alignment/>
      <protection/>
    </xf>
    <xf numFmtId="0" fontId="9" fillId="3" borderId="18" xfId="51" applyFill="1" applyBorder="1">
      <alignment/>
      <protection/>
    </xf>
    <xf numFmtId="0" fontId="9" fillId="16" borderId="18" xfId="51" applyFill="1" applyBorder="1">
      <alignment/>
      <protection/>
    </xf>
    <xf numFmtId="0" fontId="9" fillId="25" borderId="0" xfId="51" applyFill="1">
      <alignment/>
      <protection/>
    </xf>
    <xf numFmtId="0" fontId="9" fillId="2" borderId="0" xfId="51" applyFill="1">
      <alignment/>
      <protection/>
    </xf>
    <xf numFmtId="0" fontId="9" fillId="4" borderId="0" xfId="51" applyFill="1">
      <alignment/>
      <protection/>
    </xf>
    <xf numFmtId="0" fontId="9" fillId="8" borderId="0" xfId="51" applyFill="1">
      <alignment/>
      <protection/>
    </xf>
    <xf numFmtId="0" fontId="9" fillId="3" borderId="0" xfId="51" applyFill="1">
      <alignment/>
      <protection/>
    </xf>
    <xf numFmtId="0" fontId="9" fillId="16" borderId="0" xfId="51" applyFill="1">
      <alignment/>
      <protection/>
    </xf>
    <xf numFmtId="2" fontId="9" fillId="2" borderId="0" xfId="51" applyNumberFormat="1" applyFill="1">
      <alignment/>
      <protection/>
    </xf>
    <xf numFmtId="2" fontId="9" fillId="8" borderId="0" xfId="51" applyNumberFormat="1" applyFill="1">
      <alignment/>
      <protection/>
    </xf>
    <xf numFmtId="2" fontId="9" fillId="16" borderId="0" xfId="51" applyNumberFormat="1" applyFill="1">
      <alignment/>
      <protection/>
    </xf>
    <xf numFmtId="0" fontId="23" fillId="6" borderId="0" xfId="51" applyFont="1" applyFill="1">
      <alignment/>
      <protection/>
    </xf>
    <xf numFmtId="0" fontId="9" fillId="0" borderId="0" xfId="51" applyFont="1">
      <alignment/>
      <protection/>
    </xf>
    <xf numFmtId="0" fontId="24" fillId="6" borderId="0" xfId="51" applyFont="1" applyFill="1">
      <alignment/>
      <protection/>
    </xf>
    <xf numFmtId="0" fontId="19" fillId="27" borderId="0" xfId="52" applyFont="1" applyFill="1">
      <alignment/>
      <protection/>
    </xf>
    <xf numFmtId="0" fontId="0" fillId="0" borderId="0" xfId="0" applyAlignment="1" quotePrefix="1">
      <alignment/>
    </xf>
    <xf numFmtId="0" fontId="0" fillId="4" borderId="0" xfId="0" applyFill="1" applyBorder="1" applyAlignment="1">
      <alignment/>
    </xf>
    <xf numFmtId="0" fontId="0" fillId="7" borderId="0" xfId="0" applyFill="1" applyAlignment="1">
      <alignment/>
    </xf>
    <xf numFmtId="1" fontId="0" fillId="5" borderId="13" xfId="0" applyNumberFormat="1" applyFill="1" applyBorder="1" applyAlignment="1">
      <alignment horizontal="right"/>
    </xf>
    <xf numFmtId="0" fontId="0" fillId="5" borderId="13" xfId="0" applyFill="1" applyBorder="1" applyAlignment="1">
      <alignment horizontal="right"/>
    </xf>
    <xf numFmtId="177" fontId="0" fillId="5" borderId="13" xfId="0" applyNumberFormat="1" applyFill="1" applyBorder="1" applyAlignment="1">
      <alignment horizontal="right"/>
    </xf>
    <xf numFmtId="0" fontId="6" fillId="5" borderId="13" xfId="0" applyFont="1" applyFill="1" applyBorder="1" applyAlignment="1">
      <alignment horizontal="right"/>
    </xf>
    <xf numFmtId="177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0" fillId="5" borderId="13" xfId="0" applyFill="1" applyBorder="1" applyAlignment="1">
      <alignment/>
    </xf>
    <xf numFmtId="177" fontId="0" fillId="5" borderId="13" xfId="0" applyNumberFormat="1" applyFill="1" applyBorder="1" applyAlignment="1">
      <alignment/>
    </xf>
    <xf numFmtId="2" fontId="0" fillId="5" borderId="13" xfId="0" applyNumberFormat="1" applyFill="1" applyBorder="1" applyAlignment="1">
      <alignment/>
    </xf>
    <xf numFmtId="2" fontId="0" fillId="5" borderId="13" xfId="0" applyNumberFormat="1" applyFill="1" applyBorder="1" applyAlignment="1">
      <alignment horizontal="right"/>
    </xf>
    <xf numFmtId="1" fontId="0" fillId="5" borderId="13" xfId="0" applyNumberFormat="1" applyFill="1" applyBorder="1" applyAlignment="1">
      <alignment/>
    </xf>
    <xf numFmtId="1" fontId="8" fillId="5" borderId="13" xfId="0" applyNumberFormat="1" applyFont="1" applyFill="1" applyBorder="1" applyAlignment="1">
      <alignment horizontal="right"/>
    </xf>
    <xf numFmtId="0" fontId="8" fillId="5" borderId="13" xfId="0" applyFont="1" applyFill="1" applyBorder="1" applyAlignment="1">
      <alignment horizontal="right"/>
    </xf>
    <xf numFmtId="177" fontId="8" fillId="5" borderId="13" xfId="0" applyNumberFormat="1" applyFont="1" applyFill="1" applyBorder="1" applyAlignment="1">
      <alignment horizontal="right"/>
    </xf>
    <xf numFmtId="0" fontId="0" fillId="27" borderId="0" xfId="0" applyFill="1" applyAlignment="1">
      <alignment/>
    </xf>
    <xf numFmtId="2" fontId="0" fillId="27" borderId="0" xfId="0" applyNumberFormat="1" applyFill="1" applyAlignment="1">
      <alignment/>
    </xf>
    <xf numFmtId="0" fontId="0" fillId="28" borderId="0" xfId="0" applyFill="1" applyAlignment="1">
      <alignment/>
    </xf>
    <xf numFmtId="2" fontId="0" fillId="28" borderId="0" xfId="0" applyNumberFormat="1" applyFill="1" applyAlignment="1">
      <alignment/>
    </xf>
    <xf numFmtId="0" fontId="26" fillId="3" borderId="0" xfId="0" applyFont="1" applyFill="1" applyAlignment="1">
      <alignment/>
    </xf>
    <xf numFmtId="2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/>
    </xf>
    <xf numFmtId="2" fontId="2" fillId="3" borderId="0" xfId="0" applyNumberFormat="1" applyFont="1" applyFill="1" applyAlignment="1">
      <alignment/>
    </xf>
    <xf numFmtId="49" fontId="28" fillId="29" borderId="0" xfId="0" applyNumberFormat="1" applyFont="1" applyFill="1" applyAlignment="1">
      <alignment/>
    </xf>
    <xf numFmtId="2" fontId="28" fillId="29" borderId="0" xfId="0" applyNumberFormat="1" applyFont="1" applyFill="1" applyAlignment="1">
      <alignment/>
    </xf>
    <xf numFmtId="49" fontId="0" fillId="30" borderId="0" xfId="0" applyNumberFormat="1" applyFill="1" applyAlignment="1">
      <alignment/>
    </xf>
    <xf numFmtId="2" fontId="0" fillId="30" borderId="0" xfId="0" applyNumberFormat="1" applyFill="1" applyAlignment="1">
      <alignment/>
    </xf>
    <xf numFmtId="49" fontId="0" fillId="17" borderId="0" xfId="0" applyNumberFormat="1" applyFill="1" applyAlignment="1">
      <alignment/>
    </xf>
    <xf numFmtId="2" fontId="0" fillId="17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wrapText="1"/>
    </xf>
    <xf numFmtId="16" fontId="0" fillId="3" borderId="0" xfId="0" applyNumberFormat="1" applyFill="1" applyAlignment="1">
      <alignment/>
    </xf>
    <xf numFmtId="2" fontId="0" fillId="3" borderId="0" xfId="0" applyNumberFormat="1" applyFill="1" applyAlignment="1">
      <alignment/>
    </xf>
    <xf numFmtId="20" fontId="0" fillId="3" borderId="0" xfId="0" applyNumberFormat="1" applyFill="1" applyAlignment="1">
      <alignment/>
    </xf>
    <xf numFmtId="16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wrapText="1"/>
    </xf>
    <xf numFmtId="2" fontId="0" fillId="4" borderId="0" xfId="0" applyNumberFormat="1" applyFill="1" applyAlignment="1">
      <alignment/>
    </xf>
    <xf numFmtId="20" fontId="0" fillId="4" borderId="0" xfId="0" applyNumberFormat="1" applyFill="1" applyAlignment="1">
      <alignment/>
    </xf>
    <xf numFmtId="0" fontId="16" fillId="15" borderId="0" xfId="0" applyFont="1" applyFill="1" applyAlignment="1">
      <alignment/>
    </xf>
    <xf numFmtId="2" fontId="0" fillId="25" borderId="0" xfId="0" applyNumberFormat="1" applyFill="1" applyAlignment="1">
      <alignment/>
    </xf>
    <xf numFmtId="0" fontId="0" fillId="25" borderId="0" xfId="0" applyFill="1" applyAlignment="1">
      <alignment/>
    </xf>
    <xf numFmtId="0" fontId="0" fillId="0" borderId="0" xfId="0" applyAlignment="1">
      <alignment horizontal="center"/>
    </xf>
    <xf numFmtId="0" fontId="0" fillId="2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20" fontId="24" fillId="2" borderId="0" xfId="52" applyNumberFormat="1" applyFont="1" applyFill="1">
      <alignment/>
      <protection/>
    </xf>
    <xf numFmtId="0" fontId="13" fillId="2" borderId="0" xfId="52" applyFont="1" applyFill="1" applyAlignment="1">
      <alignment horizontal="center"/>
      <protection/>
    </xf>
    <xf numFmtId="177" fontId="17" fillId="26" borderId="0" xfId="52" applyNumberFormat="1" applyFont="1" applyFill="1" applyAlignment="1">
      <alignment horizontal="center" vertical="center"/>
      <protection/>
    </xf>
    <xf numFmtId="1" fontId="17" fillId="26" borderId="0" xfId="52" applyNumberFormat="1" applyFont="1" applyFill="1" applyAlignment="1">
      <alignment horizontal="center" vertical="center"/>
      <protection/>
    </xf>
    <xf numFmtId="0" fontId="9" fillId="0" borderId="0" xfId="52" applyAlignment="1">
      <alignment horizontal="center" wrapText="1"/>
      <protection/>
    </xf>
    <xf numFmtId="0" fontId="20" fillId="2" borderId="0" xfId="52" applyFont="1" applyFill="1" applyAlignment="1">
      <alignment horizontal="center" wrapText="1"/>
      <protection/>
    </xf>
    <xf numFmtId="0" fontId="13" fillId="2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7" fillId="25" borderId="0" xfId="0" applyFont="1" applyFill="1" applyAlignment="1">
      <alignment horizontal="center" wrapText="1"/>
    </xf>
    <xf numFmtId="16" fontId="2" fillId="3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0" fontId="0" fillId="4" borderId="0" xfId="0" applyFill="1" applyAlignment="1">
      <alignment horizontal="center" wrapText="1"/>
    </xf>
    <xf numFmtId="0" fontId="44" fillId="26" borderId="0" xfId="0" applyFont="1" applyFill="1" applyAlignment="1">
      <alignment horizontal="center"/>
    </xf>
    <xf numFmtId="0" fontId="0" fillId="0" borderId="19" xfId="0" applyFill="1" applyBorder="1" applyAlignment="1">
      <alignment horizontal="center"/>
    </xf>
    <xf numFmtId="0" fontId="25" fillId="26" borderId="0" xfId="0" applyFont="1" applyFill="1" applyAlignment="1">
      <alignment horizontal="left"/>
    </xf>
    <xf numFmtId="49" fontId="1" fillId="31" borderId="0" xfId="0" applyNumberFormat="1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 textRotation="90" wrapText="1"/>
    </xf>
    <xf numFmtId="2" fontId="9" fillId="0" borderId="0" xfId="52" applyNumberFormat="1" applyAlignment="1">
      <alignment horizontal="center"/>
      <protection/>
    </xf>
    <xf numFmtId="0" fontId="9" fillId="2" borderId="0" xfId="52" applyFill="1" applyAlignment="1">
      <alignment horizontal="center"/>
      <protection/>
    </xf>
    <xf numFmtId="0" fontId="9" fillId="2" borderId="0" xfId="52" applyFill="1" applyAlignment="1">
      <alignment horizontal="center" wrapText="1"/>
      <protection/>
    </xf>
    <xf numFmtId="0" fontId="9" fillId="2" borderId="20" xfId="51" applyFill="1" applyBorder="1" applyAlignment="1">
      <alignment horizontal="center"/>
      <protection/>
    </xf>
    <xf numFmtId="0" fontId="9" fillId="2" borderId="21" xfId="51" applyFill="1" applyBorder="1" applyAlignment="1">
      <alignment horizontal="center"/>
      <protection/>
    </xf>
    <xf numFmtId="0" fontId="9" fillId="8" borderId="18" xfId="51" applyFill="1" applyBorder="1" applyAlignment="1">
      <alignment horizontal="center"/>
      <protection/>
    </xf>
    <xf numFmtId="0" fontId="9" fillId="25" borderId="18" xfId="51" applyFill="1" applyBorder="1" applyAlignment="1">
      <alignment horizontal="center"/>
      <protection/>
    </xf>
    <xf numFmtId="0" fontId="9" fillId="25" borderId="22" xfId="51" applyFill="1" applyBorder="1" applyAlignment="1">
      <alignment horizont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tarifa hospedagem atacama" xfId="51"/>
    <cellStyle name="Normal_transporte viagem" xfId="52"/>
    <cellStyle name="Nota" xfId="53"/>
    <cellStyle name="Percent" xfId="54"/>
    <cellStyle name="Saída" xfId="55"/>
    <cellStyle name="Comma" xfId="56"/>
    <cellStyle name="Comma [0]" xfId="57"/>
    <cellStyle name="Separador de milhares 2" xfId="58"/>
    <cellStyle name="Texto de Aviso" xfId="59"/>
    <cellStyle name="Texto Explicativo" xfId="60"/>
    <cellStyle name="Título" xfId="61"/>
    <cellStyle name="Título 1" xfId="62"/>
    <cellStyle name="Título 1 1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="75" zoomScaleNormal="75" zoomScalePageLayoutView="0" workbookViewId="0" topLeftCell="A1">
      <selection activeCell="D45" sqref="D45"/>
    </sheetView>
  </sheetViews>
  <sheetFormatPr defaultColWidth="9.140625" defaultRowHeight="12.75"/>
  <cols>
    <col min="1" max="1" width="38.57421875" style="0" bestFit="1" customWidth="1"/>
    <col min="2" max="2" width="2.00390625" style="76" bestFit="1" customWidth="1"/>
    <col min="3" max="3" width="23.00390625" style="0" bestFit="1" customWidth="1"/>
    <col min="4" max="4" width="11.57421875" style="76" bestFit="1" customWidth="1"/>
    <col min="5" max="5" width="6.00390625" style="0" bestFit="1" customWidth="1"/>
    <col min="6" max="6" width="7.140625" style="0" customWidth="1"/>
    <col min="7" max="7" width="255.7109375" style="0" bestFit="1" customWidth="1"/>
  </cols>
  <sheetData>
    <row r="1" spans="1:7" ht="12.75">
      <c r="A1" s="85" t="s">
        <v>271</v>
      </c>
      <c r="B1" s="86"/>
      <c r="C1" s="85"/>
      <c r="D1" s="86" t="s">
        <v>12</v>
      </c>
      <c r="E1" s="269" t="s">
        <v>297</v>
      </c>
      <c r="F1" s="269"/>
      <c r="G1" s="98"/>
    </row>
    <row r="2" spans="1:6" ht="12.75">
      <c r="A2" s="77" t="s">
        <v>573</v>
      </c>
      <c r="B2" s="78"/>
      <c r="C2" s="77"/>
      <c r="D2" s="76">
        <v>10</v>
      </c>
      <c r="F2" t="s">
        <v>348</v>
      </c>
    </row>
    <row r="3" spans="1:7" ht="12.75">
      <c r="A3" s="233" t="s">
        <v>272</v>
      </c>
      <c r="B3" s="234" t="s">
        <v>276</v>
      </c>
      <c r="C3" s="234" t="s">
        <v>273</v>
      </c>
      <c r="D3" s="99">
        <v>635</v>
      </c>
      <c r="E3" s="87"/>
      <c r="F3" s="87" t="s">
        <v>348</v>
      </c>
      <c r="G3" s="108"/>
    </row>
    <row r="4" spans="1:7" ht="12.75">
      <c r="A4" s="77" t="s">
        <v>516</v>
      </c>
      <c r="B4" s="78" t="s">
        <v>276</v>
      </c>
      <c r="C4" s="78" t="s">
        <v>517</v>
      </c>
      <c r="D4" s="99">
        <f aca="true" t="shared" si="0" ref="D4:D11">E4/270</f>
        <v>5.185185185185185</v>
      </c>
      <c r="E4" s="87">
        <v>1400</v>
      </c>
      <c r="F4" s="87" t="s">
        <v>188</v>
      </c>
      <c r="G4" s="108" t="s">
        <v>526</v>
      </c>
    </row>
    <row r="5" spans="1:7" ht="12.75">
      <c r="A5" s="77" t="s">
        <v>518</v>
      </c>
      <c r="B5" s="78" t="s">
        <v>276</v>
      </c>
      <c r="C5" s="77" t="s">
        <v>274</v>
      </c>
      <c r="D5" s="99">
        <f t="shared" si="0"/>
        <v>15.925925925925926</v>
      </c>
      <c r="E5" s="87">
        <v>4300</v>
      </c>
      <c r="F5" s="87" t="s">
        <v>188</v>
      </c>
      <c r="G5" s="108" t="s">
        <v>527</v>
      </c>
    </row>
    <row r="6" spans="1:7" ht="12.75">
      <c r="A6" s="83" t="s">
        <v>278</v>
      </c>
      <c r="B6" s="84"/>
      <c r="C6" s="83" t="s">
        <v>519</v>
      </c>
      <c r="D6" s="99">
        <f t="shared" si="0"/>
        <v>5.925925925925926</v>
      </c>
      <c r="E6" s="87">
        <v>1600</v>
      </c>
      <c r="F6" s="87" t="s">
        <v>188</v>
      </c>
      <c r="G6" s="87" t="s">
        <v>528</v>
      </c>
    </row>
    <row r="7" spans="1:7" ht="12.75">
      <c r="A7" s="77" t="s">
        <v>274</v>
      </c>
      <c r="B7" s="78" t="s">
        <v>276</v>
      </c>
      <c r="C7" s="77" t="s">
        <v>520</v>
      </c>
      <c r="D7" s="99">
        <f t="shared" si="0"/>
        <v>154.8148148148148</v>
      </c>
      <c r="E7" s="87">
        <v>41800</v>
      </c>
      <c r="F7" s="87" t="s">
        <v>188</v>
      </c>
      <c r="G7" s="108" t="s">
        <v>529</v>
      </c>
    </row>
    <row r="8" spans="1:7" ht="12.75">
      <c r="A8" s="83" t="s">
        <v>4</v>
      </c>
      <c r="B8" s="84" t="s">
        <v>276</v>
      </c>
      <c r="C8" s="83" t="s">
        <v>523</v>
      </c>
      <c r="D8" s="99">
        <f t="shared" si="0"/>
        <v>51.851851851851855</v>
      </c>
      <c r="E8" s="87">
        <v>14000</v>
      </c>
      <c r="F8" s="87" t="s">
        <v>188</v>
      </c>
      <c r="G8" s="87" t="s">
        <v>531</v>
      </c>
    </row>
    <row r="9" spans="1:7" ht="12.75">
      <c r="A9" s="83" t="s">
        <v>4</v>
      </c>
      <c r="B9" s="84" t="s">
        <v>276</v>
      </c>
      <c r="C9" s="83" t="s">
        <v>522</v>
      </c>
      <c r="D9" s="99">
        <f t="shared" si="0"/>
        <v>72.22222222222223</v>
      </c>
      <c r="E9" s="87">
        <v>19500</v>
      </c>
      <c r="F9" s="87" t="s">
        <v>188</v>
      </c>
      <c r="G9" s="87" t="s">
        <v>530</v>
      </c>
    </row>
    <row r="10" spans="1:7" ht="12.75">
      <c r="A10" s="83" t="s">
        <v>4</v>
      </c>
      <c r="B10" s="84" t="s">
        <v>276</v>
      </c>
      <c r="C10" s="83" t="s">
        <v>521</v>
      </c>
      <c r="D10" s="99">
        <f t="shared" si="0"/>
        <v>44.44444444444444</v>
      </c>
      <c r="E10" s="87">
        <v>12000</v>
      </c>
      <c r="F10" s="87" t="s">
        <v>188</v>
      </c>
      <c r="G10" s="87" t="s">
        <v>530</v>
      </c>
    </row>
    <row r="11" spans="1:7" ht="12.75">
      <c r="A11" s="83" t="s">
        <v>4</v>
      </c>
      <c r="B11" s="84" t="s">
        <v>276</v>
      </c>
      <c r="C11" s="83" t="s">
        <v>524</v>
      </c>
      <c r="D11" s="99">
        <f t="shared" si="0"/>
        <v>16.666666666666668</v>
      </c>
      <c r="E11" s="87">
        <v>4500</v>
      </c>
      <c r="F11" s="87" t="s">
        <v>188</v>
      </c>
      <c r="G11" s="87" t="s">
        <v>549</v>
      </c>
    </row>
    <row r="12" spans="1:7" ht="12.75">
      <c r="A12" s="83" t="s">
        <v>4</v>
      </c>
      <c r="B12" s="84" t="s">
        <v>276</v>
      </c>
      <c r="C12" s="83" t="s">
        <v>284</v>
      </c>
      <c r="D12" s="99">
        <f>E12/270</f>
        <v>269.6296296296296</v>
      </c>
      <c r="E12" s="87">
        <v>72800</v>
      </c>
      <c r="F12" s="87" t="s">
        <v>188</v>
      </c>
      <c r="G12" s="87" t="s">
        <v>532</v>
      </c>
    </row>
    <row r="13" spans="1:7" ht="12.75">
      <c r="A13" s="77" t="s">
        <v>284</v>
      </c>
      <c r="B13" s="78" t="s">
        <v>276</v>
      </c>
      <c r="C13" s="77" t="s">
        <v>285</v>
      </c>
      <c r="D13" s="99">
        <f aca="true" t="shared" si="1" ref="D13:D24">E13/3.5</f>
        <v>7.142857142857143</v>
      </c>
      <c r="E13" s="87">
        <v>25</v>
      </c>
      <c r="F13" s="87" t="s">
        <v>260</v>
      </c>
      <c r="G13" s="108" t="s">
        <v>533</v>
      </c>
    </row>
    <row r="14" spans="1:7" ht="12.75">
      <c r="A14" s="77" t="s">
        <v>285</v>
      </c>
      <c r="B14" s="78" t="s">
        <v>276</v>
      </c>
      <c r="C14" s="77" t="s">
        <v>525</v>
      </c>
      <c r="D14" s="99">
        <f t="shared" si="1"/>
        <v>1.4285714285714286</v>
      </c>
      <c r="E14" s="87">
        <v>5</v>
      </c>
      <c r="F14" s="87" t="s">
        <v>260</v>
      </c>
      <c r="G14" s="108" t="s">
        <v>535</v>
      </c>
    </row>
    <row r="15" spans="1:7" ht="12.75">
      <c r="A15" s="231" t="s">
        <v>285</v>
      </c>
      <c r="B15" s="232" t="s">
        <v>276</v>
      </c>
      <c r="C15" s="231" t="s">
        <v>536</v>
      </c>
      <c r="D15" s="99">
        <f t="shared" si="1"/>
        <v>22.857142857142858</v>
      </c>
      <c r="E15" s="87">
        <v>80</v>
      </c>
      <c r="F15" s="87" t="s">
        <v>260</v>
      </c>
      <c r="G15" s="108" t="s">
        <v>540</v>
      </c>
    </row>
    <row r="16" spans="1:7" ht="12.75">
      <c r="A16" s="77" t="s">
        <v>538</v>
      </c>
      <c r="B16" s="78" t="s">
        <v>276</v>
      </c>
      <c r="C16" s="77" t="s">
        <v>539</v>
      </c>
      <c r="D16" s="99">
        <f t="shared" si="1"/>
        <v>23.142857142857142</v>
      </c>
      <c r="E16" s="87">
        <v>81</v>
      </c>
      <c r="F16" s="87" t="s">
        <v>260</v>
      </c>
      <c r="G16" s="108" t="s">
        <v>534</v>
      </c>
    </row>
    <row r="17" spans="1:7" ht="12.75">
      <c r="A17" s="77" t="s">
        <v>285</v>
      </c>
      <c r="B17" s="78" t="s">
        <v>276</v>
      </c>
      <c r="C17" s="77" t="s">
        <v>175</v>
      </c>
      <c r="D17" s="99">
        <f t="shared" si="1"/>
        <v>14.857142857142858</v>
      </c>
      <c r="E17" s="87">
        <v>52</v>
      </c>
      <c r="F17" s="87" t="s">
        <v>260</v>
      </c>
      <c r="G17" s="108" t="s">
        <v>541</v>
      </c>
    </row>
    <row r="18" spans="1:7" ht="12.75">
      <c r="A18" s="77" t="s">
        <v>251</v>
      </c>
      <c r="B18" s="78" t="s">
        <v>276</v>
      </c>
      <c r="C18" s="77" t="s">
        <v>537</v>
      </c>
      <c r="D18" s="99">
        <f t="shared" si="1"/>
        <v>2.857142857142857</v>
      </c>
      <c r="E18" s="87">
        <v>10</v>
      </c>
      <c r="F18" s="87" t="s">
        <v>260</v>
      </c>
      <c r="G18" s="108" t="s">
        <v>548</v>
      </c>
    </row>
    <row r="19" spans="1:7" ht="12.75">
      <c r="A19" s="77" t="s">
        <v>175</v>
      </c>
      <c r="B19" s="78" t="s">
        <v>276</v>
      </c>
      <c r="C19" s="77" t="s">
        <v>542</v>
      </c>
      <c r="D19" s="99">
        <f t="shared" si="1"/>
        <v>0.42857142857142855</v>
      </c>
      <c r="E19" s="87">
        <v>1.5</v>
      </c>
      <c r="F19" s="87" t="s">
        <v>260</v>
      </c>
      <c r="G19" s="108" t="s">
        <v>547</v>
      </c>
    </row>
    <row r="20" spans="1:7" ht="12.75">
      <c r="A20" s="77" t="s">
        <v>543</v>
      </c>
      <c r="B20" s="78" t="s">
        <v>276</v>
      </c>
      <c r="C20" s="77" t="s">
        <v>544</v>
      </c>
      <c r="D20" s="99">
        <f t="shared" si="1"/>
        <v>2.857142857142857</v>
      </c>
      <c r="E20" s="87">
        <v>10</v>
      </c>
      <c r="F20" s="87" t="s">
        <v>260</v>
      </c>
      <c r="G20" s="108" t="s">
        <v>546</v>
      </c>
    </row>
    <row r="21" spans="1:7" ht="12.75">
      <c r="A21" s="231" t="s">
        <v>545</v>
      </c>
      <c r="B21" s="232"/>
      <c r="C21" s="231"/>
      <c r="D21" s="99">
        <f t="shared" si="1"/>
        <v>22.857142857142858</v>
      </c>
      <c r="E21" s="87">
        <v>80</v>
      </c>
      <c r="F21" s="87" t="s">
        <v>260</v>
      </c>
      <c r="G21" s="108"/>
    </row>
    <row r="22" spans="1:7" ht="12.75">
      <c r="A22" s="77" t="s">
        <v>550</v>
      </c>
      <c r="B22" s="78" t="s">
        <v>276</v>
      </c>
      <c r="C22" s="77" t="s">
        <v>551</v>
      </c>
      <c r="D22" s="99">
        <f t="shared" si="1"/>
        <v>1.8571428571428572</v>
      </c>
      <c r="E22" s="87">
        <v>6.5</v>
      </c>
      <c r="F22" s="87" t="s">
        <v>260</v>
      </c>
      <c r="G22" s="108" t="s">
        <v>558</v>
      </c>
    </row>
    <row r="23" spans="1:7" ht="12.75">
      <c r="A23" s="77" t="s">
        <v>552</v>
      </c>
      <c r="B23" s="78" t="s">
        <v>276</v>
      </c>
      <c r="C23" s="77" t="s">
        <v>553</v>
      </c>
      <c r="D23" s="99">
        <f t="shared" si="1"/>
        <v>0.2857142857142857</v>
      </c>
      <c r="E23" s="87">
        <v>1</v>
      </c>
      <c r="F23" s="87" t="s">
        <v>260</v>
      </c>
      <c r="G23" s="108" t="s">
        <v>558</v>
      </c>
    </row>
    <row r="24" spans="1:7" ht="12.75">
      <c r="A24" s="77" t="s">
        <v>553</v>
      </c>
      <c r="B24" s="78" t="s">
        <v>276</v>
      </c>
      <c r="C24" s="77" t="s">
        <v>554</v>
      </c>
      <c r="D24" s="99">
        <f t="shared" si="1"/>
        <v>0.2857142857142857</v>
      </c>
      <c r="E24" s="87">
        <v>1</v>
      </c>
      <c r="F24" s="87" t="s">
        <v>260</v>
      </c>
      <c r="G24" s="108" t="s">
        <v>558</v>
      </c>
    </row>
    <row r="25" spans="1:7" ht="12.75">
      <c r="A25" s="77" t="s">
        <v>555</v>
      </c>
      <c r="B25" s="78" t="s">
        <v>276</v>
      </c>
      <c r="C25" s="77" t="s">
        <v>556</v>
      </c>
      <c r="D25" s="99">
        <f aca="true" t="shared" si="2" ref="D25:D32">E25/3.5</f>
        <v>7.142857142857143</v>
      </c>
      <c r="E25" s="87">
        <v>25</v>
      </c>
      <c r="F25" s="87" t="s">
        <v>260</v>
      </c>
      <c r="G25" s="108" t="s">
        <v>534</v>
      </c>
    </row>
    <row r="26" spans="1:7" ht="12.75">
      <c r="A26" s="77" t="s">
        <v>557</v>
      </c>
      <c r="B26" s="78" t="s">
        <v>276</v>
      </c>
      <c r="C26" s="77" t="s">
        <v>537</v>
      </c>
      <c r="D26" s="99">
        <f t="shared" si="2"/>
        <v>2.2857142857142856</v>
      </c>
      <c r="E26" s="87">
        <v>8</v>
      </c>
      <c r="F26" s="87" t="s">
        <v>260</v>
      </c>
      <c r="G26" s="108" t="s">
        <v>534</v>
      </c>
    </row>
    <row r="27" spans="1:7" ht="12.75">
      <c r="A27" s="231" t="s">
        <v>687</v>
      </c>
      <c r="B27" s="232"/>
      <c r="C27" s="231"/>
      <c r="D27" s="99">
        <f t="shared" si="2"/>
        <v>2.857142857142857</v>
      </c>
      <c r="E27" s="87">
        <v>10</v>
      </c>
      <c r="F27" s="87" t="s">
        <v>260</v>
      </c>
      <c r="G27" s="108" t="s">
        <v>688</v>
      </c>
    </row>
    <row r="28" spans="1:7" ht="12.75">
      <c r="A28" s="231" t="s">
        <v>175</v>
      </c>
      <c r="B28" s="232" t="s">
        <v>276</v>
      </c>
      <c r="C28" s="231" t="s">
        <v>559</v>
      </c>
      <c r="D28" s="99">
        <f t="shared" si="2"/>
        <v>18.571428571428573</v>
      </c>
      <c r="E28" s="87">
        <v>65</v>
      </c>
      <c r="F28" s="87" t="s">
        <v>260</v>
      </c>
      <c r="G28" s="108" t="s">
        <v>560</v>
      </c>
    </row>
    <row r="29" spans="1:7" ht="12.75">
      <c r="A29" s="77" t="s">
        <v>175</v>
      </c>
      <c r="B29" s="78" t="s">
        <v>276</v>
      </c>
      <c r="C29" s="77" t="s">
        <v>561</v>
      </c>
      <c r="D29" s="99">
        <f t="shared" si="2"/>
        <v>3.2857142857142856</v>
      </c>
      <c r="E29" s="87">
        <v>11.5</v>
      </c>
      <c r="F29" s="87" t="s">
        <v>260</v>
      </c>
      <c r="G29" s="87" t="s">
        <v>562</v>
      </c>
    </row>
    <row r="30" spans="1:7" ht="12.75">
      <c r="A30" s="77" t="s">
        <v>175</v>
      </c>
      <c r="B30" s="78" t="s">
        <v>276</v>
      </c>
      <c r="C30" s="77" t="s">
        <v>556</v>
      </c>
      <c r="D30" s="99">
        <f t="shared" si="2"/>
        <v>2.857142857142857</v>
      </c>
      <c r="E30" s="87">
        <v>10</v>
      </c>
      <c r="F30" s="87" t="s">
        <v>260</v>
      </c>
      <c r="G30" s="87" t="s">
        <v>534</v>
      </c>
    </row>
    <row r="31" spans="1:7" ht="12.75">
      <c r="A31" s="77" t="s">
        <v>175</v>
      </c>
      <c r="B31" s="78" t="s">
        <v>276</v>
      </c>
      <c r="C31" s="77" t="s">
        <v>294</v>
      </c>
      <c r="D31" s="99">
        <f t="shared" si="2"/>
        <v>37.142857142857146</v>
      </c>
      <c r="E31" s="87">
        <v>130</v>
      </c>
      <c r="F31" s="87" t="s">
        <v>260</v>
      </c>
      <c r="G31" s="108" t="s">
        <v>563</v>
      </c>
    </row>
    <row r="32" spans="1:7" ht="12.75">
      <c r="A32" s="233" t="s">
        <v>180</v>
      </c>
      <c r="B32" s="78" t="s">
        <v>276</v>
      </c>
      <c r="C32" s="233" t="s">
        <v>254</v>
      </c>
      <c r="D32" s="99">
        <f t="shared" si="2"/>
        <v>32.857142857142854</v>
      </c>
      <c r="E32" s="87">
        <v>115</v>
      </c>
      <c r="F32" s="87" t="s">
        <v>260</v>
      </c>
      <c r="G32" s="108" t="s">
        <v>564</v>
      </c>
    </row>
    <row r="33" spans="1:7" ht="12.75">
      <c r="A33" s="233" t="s">
        <v>254</v>
      </c>
      <c r="B33" s="78"/>
      <c r="C33" s="233" t="s">
        <v>255</v>
      </c>
      <c r="D33" s="99"/>
      <c r="E33" s="87"/>
      <c r="F33" s="87" t="s">
        <v>565</v>
      </c>
      <c r="G33" s="87" t="s">
        <v>566</v>
      </c>
    </row>
    <row r="34" spans="1:7" ht="12.75">
      <c r="A34" s="233" t="s">
        <v>255</v>
      </c>
      <c r="B34" s="78" t="s">
        <v>276</v>
      </c>
      <c r="C34" s="233" t="s">
        <v>288</v>
      </c>
      <c r="D34" s="99">
        <v>60</v>
      </c>
      <c r="E34" s="87"/>
      <c r="F34" s="87" t="s">
        <v>348</v>
      </c>
      <c r="G34" s="87" t="s">
        <v>567</v>
      </c>
    </row>
    <row r="35" spans="1:7" ht="12.75">
      <c r="A35" s="231" t="s">
        <v>296</v>
      </c>
      <c r="B35" s="232" t="s">
        <v>276</v>
      </c>
      <c r="C35" s="231" t="s">
        <v>508</v>
      </c>
      <c r="D35" s="99">
        <v>25</v>
      </c>
      <c r="E35" s="87"/>
      <c r="F35" s="87" t="s">
        <v>348</v>
      </c>
      <c r="G35" s="108"/>
    </row>
    <row r="36" spans="1:7" ht="12.75">
      <c r="A36" s="233" t="s">
        <v>296</v>
      </c>
      <c r="B36" s="234" t="s">
        <v>276</v>
      </c>
      <c r="C36" s="233" t="s">
        <v>344</v>
      </c>
      <c r="D36" s="99">
        <v>55</v>
      </c>
      <c r="E36" s="87"/>
      <c r="F36" s="87" t="s">
        <v>348</v>
      </c>
      <c r="G36" s="108" t="s">
        <v>568</v>
      </c>
    </row>
    <row r="37" spans="1:7" ht="12.75">
      <c r="A37" s="233" t="s">
        <v>344</v>
      </c>
      <c r="B37" s="234" t="s">
        <v>276</v>
      </c>
      <c r="C37" s="233" t="s">
        <v>256</v>
      </c>
      <c r="D37" s="99">
        <v>254.42</v>
      </c>
      <c r="E37" s="87"/>
      <c r="F37" s="87" t="s">
        <v>348</v>
      </c>
      <c r="G37" s="108" t="s">
        <v>571</v>
      </c>
    </row>
    <row r="38" spans="1:7" ht="12.75">
      <c r="A38" s="77" t="s">
        <v>569</v>
      </c>
      <c r="B38" s="78"/>
      <c r="C38" s="77"/>
      <c r="D38" s="99">
        <v>50</v>
      </c>
      <c r="E38" s="87"/>
      <c r="F38" s="87" t="s">
        <v>348</v>
      </c>
      <c r="G38" s="108" t="s">
        <v>570</v>
      </c>
    </row>
    <row r="41" ht="12.75">
      <c r="D41" s="76" t="s">
        <v>327</v>
      </c>
    </row>
    <row r="42" spans="1:4" ht="12.75">
      <c r="A42" s="77" t="s">
        <v>328</v>
      </c>
      <c r="D42" s="76">
        <f>SUM(D4:D5,D7,D13:D14,D16:D20,D22:D26,D29:D36)</f>
        <v>456.6402116402116</v>
      </c>
    </row>
    <row r="43" spans="1:4" ht="12.75">
      <c r="A43" s="231" t="s">
        <v>329</v>
      </c>
      <c r="D43" s="76">
        <f>SUM(D6,D8:D12,D15,D21,D27:D28,D35)</f>
        <v>552.8835978835979</v>
      </c>
    </row>
    <row r="44" spans="1:4" ht="12.75">
      <c r="A44" s="233" t="s">
        <v>572</v>
      </c>
      <c r="D44" s="76">
        <f>SUM(D32:D37)-D35+D3</f>
        <v>1037.2771428571427</v>
      </c>
    </row>
    <row r="45" spans="1:4" ht="18">
      <c r="A45" s="235" t="s">
        <v>574</v>
      </c>
      <c r="B45" s="236"/>
      <c r="C45" s="237"/>
      <c r="D45" s="236">
        <f>SUM(D3:D38)</f>
        <v>1923.9438095238095</v>
      </c>
    </row>
    <row r="47" spans="1:4" ht="12.75">
      <c r="A47" t="s">
        <v>190</v>
      </c>
      <c r="B47"/>
      <c r="D47"/>
    </row>
    <row r="48" spans="1:4" ht="12.75">
      <c r="A48" t="s">
        <v>595</v>
      </c>
      <c r="B48" t="s">
        <v>596</v>
      </c>
      <c r="D48"/>
    </row>
    <row r="49" spans="1:4" ht="12.75">
      <c r="A49" t="s">
        <v>594</v>
      </c>
      <c r="B49" t="s">
        <v>194</v>
      </c>
      <c r="D49"/>
    </row>
    <row r="50" spans="1:4" ht="12.75">
      <c r="A50" t="s">
        <v>195</v>
      </c>
      <c r="B50" t="s">
        <v>597</v>
      </c>
      <c r="D50"/>
    </row>
    <row r="51" spans="2:4" ht="12.75">
      <c r="B51"/>
      <c r="D51"/>
    </row>
    <row r="52" spans="1:4" ht="12.75">
      <c r="A52" s="1"/>
      <c r="B52" s="1"/>
      <c r="C52" t="s">
        <v>327</v>
      </c>
      <c r="D52"/>
    </row>
    <row r="53" spans="1:4" ht="12.75">
      <c r="A53" s="243" t="s">
        <v>667</v>
      </c>
      <c r="B53" s="243"/>
      <c r="C53" s="244">
        <f>'Refeições GB'!G56</f>
        <v>308.15077601410934</v>
      </c>
      <c r="D53"/>
    </row>
    <row r="54" spans="1:4" ht="12.75">
      <c r="A54" s="243" t="s">
        <v>510</v>
      </c>
      <c r="B54" s="243"/>
      <c r="C54" s="244">
        <f>D45</f>
        <v>1923.9438095238095</v>
      </c>
      <c r="D54"/>
    </row>
    <row r="55" spans="1:4" ht="12.75">
      <c r="A55" s="243" t="s">
        <v>258</v>
      </c>
      <c r="B55" s="243"/>
      <c r="C55" s="244">
        <f>'HOSPEDAGEM GB'!G34</f>
        <v>184.1450849345586</v>
      </c>
      <c r="D55"/>
    </row>
    <row r="56" spans="1:4" ht="12.75">
      <c r="A56" s="243" t="s">
        <v>684</v>
      </c>
      <c r="B56" s="243"/>
      <c r="C56" s="244">
        <f>SUM(C53:C55)</f>
        <v>2416.2396704724774</v>
      </c>
      <c r="D56"/>
    </row>
    <row r="57" spans="1:4" ht="18">
      <c r="A57" s="241" t="s">
        <v>685</v>
      </c>
      <c r="B57" s="241"/>
      <c r="C57" s="242">
        <f>SUM(C53:C55,C60)</f>
        <v>3119.394167826975</v>
      </c>
      <c r="D57"/>
    </row>
    <row r="58" spans="1:4" ht="12.75">
      <c r="A58" s="1"/>
      <c r="B58" s="1"/>
      <c r="C58" s="76"/>
      <c r="D58"/>
    </row>
    <row r="59" spans="2:4" ht="12.75">
      <c r="B59" s="1"/>
      <c r="C59" t="s">
        <v>327</v>
      </c>
      <c r="D59"/>
    </row>
    <row r="60" spans="1:4" ht="12.75">
      <c r="A60" s="245" t="s">
        <v>668</v>
      </c>
      <c r="B60" s="245"/>
      <c r="C60" s="246">
        <f>SUM(C61:C79)</f>
        <v>703.1544973544974</v>
      </c>
      <c r="D60"/>
    </row>
    <row r="61" spans="1:5" ht="12.75">
      <c r="A61" s="1" t="s">
        <v>669</v>
      </c>
      <c r="B61" s="1"/>
      <c r="C61" s="76">
        <f>D61*1.84</f>
        <v>110.4</v>
      </c>
      <c r="D61">
        <v>60</v>
      </c>
      <c r="E61" t="s">
        <v>172</v>
      </c>
    </row>
    <row r="62" spans="1:5" ht="12.75">
      <c r="A62" s="1" t="s">
        <v>670</v>
      </c>
      <c r="B62" s="1"/>
      <c r="C62" s="76">
        <f aca="true" t="shared" si="3" ref="C62:C70">D62/270</f>
        <v>1.8518518518518519</v>
      </c>
      <c r="D62">
        <v>500</v>
      </c>
      <c r="E62" t="s">
        <v>188</v>
      </c>
    </row>
    <row r="63" spans="1:5" ht="12.75">
      <c r="A63" s="1" t="s">
        <v>671</v>
      </c>
      <c r="C63" s="76">
        <f t="shared" si="3"/>
        <v>2.037037037037037</v>
      </c>
      <c r="D63" s="76">
        <v>550</v>
      </c>
      <c r="E63" t="s">
        <v>188</v>
      </c>
    </row>
    <row r="64" spans="1:5" ht="12.75">
      <c r="A64" s="1" t="s">
        <v>672</v>
      </c>
      <c r="C64" s="76">
        <f t="shared" si="3"/>
        <v>2.962962962962963</v>
      </c>
      <c r="D64" s="76">
        <v>800</v>
      </c>
      <c r="E64" t="s">
        <v>188</v>
      </c>
    </row>
    <row r="65" spans="1:5" ht="12.75">
      <c r="A65" s="1" t="s">
        <v>673</v>
      </c>
      <c r="C65" s="76">
        <f t="shared" si="3"/>
        <v>14.814814814814815</v>
      </c>
      <c r="D65" s="76">
        <v>4000</v>
      </c>
      <c r="E65" t="s">
        <v>188</v>
      </c>
    </row>
    <row r="66" spans="1:5" ht="12.75">
      <c r="A66" s="1" t="s">
        <v>674</v>
      </c>
      <c r="C66" s="76">
        <f>D66*1.84</f>
        <v>184</v>
      </c>
      <c r="D66" s="76">
        <v>100</v>
      </c>
      <c r="E66" t="s">
        <v>172</v>
      </c>
    </row>
    <row r="67" spans="1:5" ht="12.75">
      <c r="A67" s="1" t="s">
        <v>675</v>
      </c>
      <c r="C67" s="76">
        <f t="shared" si="3"/>
        <v>144.14814814814815</v>
      </c>
      <c r="D67" s="76">
        <v>38920</v>
      </c>
      <c r="E67" t="s">
        <v>188</v>
      </c>
    </row>
    <row r="68" spans="1:5" ht="12.75">
      <c r="A68" s="1" t="s">
        <v>676</v>
      </c>
      <c r="C68" s="76">
        <f t="shared" si="3"/>
        <v>74.07407407407408</v>
      </c>
      <c r="D68" s="76">
        <v>20000</v>
      </c>
      <c r="E68" t="s">
        <v>188</v>
      </c>
    </row>
    <row r="69" spans="1:5" ht="12.75">
      <c r="A69" s="1" t="s">
        <v>677</v>
      </c>
      <c r="C69" s="76">
        <f t="shared" si="3"/>
        <v>14.777777777777779</v>
      </c>
      <c r="D69" s="76">
        <v>3990</v>
      </c>
      <c r="E69" t="s">
        <v>188</v>
      </c>
    </row>
    <row r="70" spans="1:5" ht="12.75">
      <c r="A70" s="1" t="s">
        <v>678</v>
      </c>
      <c r="C70" s="76">
        <f t="shared" si="3"/>
        <v>12.185185185185185</v>
      </c>
      <c r="D70" s="76">
        <v>3290</v>
      </c>
      <c r="E70" t="s">
        <v>188</v>
      </c>
    </row>
    <row r="71" spans="1:5" ht="12.75">
      <c r="A71" s="1" t="s">
        <v>679</v>
      </c>
      <c r="C71" s="76">
        <f>D71/270</f>
        <v>14.074074074074074</v>
      </c>
      <c r="D71" s="76">
        <v>3800</v>
      </c>
      <c r="E71" t="s">
        <v>188</v>
      </c>
    </row>
    <row r="72" spans="1:5" ht="12.75">
      <c r="A72" s="1" t="s">
        <v>171</v>
      </c>
      <c r="C72" s="76">
        <f aca="true" t="shared" si="4" ref="C72:C79">D72/3.5</f>
        <v>17.142857142857142</v>
      </c>
      <c r="D72" s="76">
        <v>60</v>
      </c>
      <c r="E72" t="s">
        <v>260</v>
      </c>
    </row>
    <row r="73" spans="1:5" ht="12.75">
      <c r="A73" s="1" t="s">
        <v>680</v>
      </c>
      <c r="C73" s="76">
        <f t="shared" si="4"/>
        <v>1.4285714285714286</v>
      </c>
      <c r="D73" s="76">
        <v>5</v>
      </c>
      <c r="E73" t="s">
        <v>260</v>
      </c>
    </row>
    <row r="74" spans="1:5" ht="12.75">
      <c r="A74" s="1" t="s">
        <v>681</v>
      </c>
      <c r="C74" s="76">
        <f t="shared" si="4"/>
        <v>10.285714285714286</v>
      </c>
      <c r="D74" s="76">
        <v>36</v>
      </c>
      <c r="E74" t="s">
        <v>260</v>
      </c>
    </row>
    <row r="75" spans="1:5" ht="12.75">
      <c r="A75" s="1" t="s">
        <v>672</v>
      </c>
      <c r="C75" s="76">
        <f t="shared" si="4"/>
        <v>14</v>
      </c>
      <c r="D75" s="76">
        <v>49</v>
      </c>
      <c r="E75" t="s">
        <v>260</v>
      </c>
    </row>
    <row r="76" spans="1:5" ht="12.75">
      <c r="A76" s="1" t="s">
        <v>682</v>
      </c>
      <c r="C76" s="76">
        <f t="shared" si="4"/>
        <v>9.257142857142856</v>
      </c>
      <c r="D76" s="76">
        <v>32.4</v>
      </c>
      <c r="E76" t="s">
        <v>260</v>
      </c>
    </row>
    <row r="77" spans="1:5" ht="12.75">
      <c r="A77" s="1" t="s">
        <v>683</v>
      </c>
      <c r="C77" s="76">
        <f t="shared" si="4"/>
        <v>50</v>
      </c>
      <c r="D77" s="76">
        <v>175</v>
      </c>
      <c r="E77" t="s">
        <v>260</v>
      </c>
    </row>
    <row r="78" spans="1:5" ht="12.75">
      <c r="A78" s="1" t="s">
        <v>234</v>
      </c>
      <c r="C78" s="76">
        <f t="shared" si="4"/>
        <v>5.714285714285714</v>
      </c>
      <c r="D78" s="76">
        <v>20</v>
      </c>
      <c r="E78" t="s">
        <v>260</v>
      </c>
    </row>
    <row r="79" spans="1:5" ht="12.75">
      <c r="A79" s="1" t="s">
        <v>686</v>
      </c>
      <c r="C79" s="76">
        <f t="shared" si="4"/>
        <v>20</v>
      </c>
      <c r="D79" s="76">
        <v>70</v>
      </c>
      <c r="E79" t="s">
        <v>260</v>
      </c>
    </row>
  </sheetData>
  <sheetProtection/>
  <mergeCells count="1">
    <mergeCell ref="E1:F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6"/>
  <sheetViews>
    <sheetView zoomScalePageLayoutView="0" workbookViewId="0" topLeftCell="A1">
      <selection activeCell="E10" sqref="E10"/>
    </sheetView>
  </sheetViews>
  <sheetFormatPr defaultColWidth="10.28125" defaultRowHeight="12.75"/>
  <cols>
    <col min="1" max="1" width="15.8515625" style="145" bestFit="1" customWidth="1"/>
    <col min="2" max="2" width="16.28125" style="183" bestFit="1" customWidth="1"/>
    <col min="3" max="3" width="18.140625" style="145" bestFit="1" customWidth="1"/>
    <col min="4" max="4" width="22.140625" style="183" customWidth="1"/>
    <col min="5" max="5" width="8.421875" style="145" bestFit="1" customWidth="1"/>
    <col min="6" max="6" width="8.140625" style="183" bestFit="1" customWidth="1"/>
    <col min="7" max="7" width="146.57421875" style="145" bestFit="1" customWidth="1"/>
    <col min="8" max="16384" width="10.28125" style="145" customWidth="1"/>
  </cols>
  <sheetData>
    <row r="1" ht="14.25">
      <c r="A1" s="182" t="s">
        <v>253</v>
      </c>
    </row>
    <row r="4" spans="2:7" ht="14.25">
      <c r="B4" s="146" t="s">
        <v>390</v>
      </c>
      <c r="C4" s="146" t="s">
        <v>391</v>
      </c>
      <c r="D4" s="146" t="s">
        <v>392</v>
      </c>
      <c r="E4" s="146" t="s">
        <v>393</v>
      </c>
      <c r="F4" s="146" t="s">
        <v>321</v>
      </c>
      <c r="G4" s="146" t="s">
        <v>394</v>
      </c>
    </row>
    <row r="6" spans="2:3" ht="14.25">
      <c r="B6" s="184" t="s">
        <v>305</v>
      </c>
      <c r="C6" s="185" t="s">
        <v>306</v>
      </c>
    </row>
    <row r="8" spans="1:3" ht="14.25">
      <c r="A8" s="145" t="s">
        <v>395</v>
      </c>
      <c r="B8" s="186">
        <v>0.7430555555555555</v>
      </c>
      <c r="C8" s="187">
        <v>0.25</v>
      </c>
    </row>
    <row r="9" spans="1:7" ht="14.25">
      <c r="A9" s="145" t="s">
        <v>396</v>
      </c>
      <c r="B9" s="186">
        <v>0.8333333333333334</v>
      </c>
      <c r="C9" s="187">
        <v>0.375</v>
      </c>
      <c r="G9" s="145" t="s">
        <v>397</v>
      </c>
    </row>
    <row r="10" spans="1:7" ht="14.25">
      <c r="A10" s="145" t="s">
        <v>181</v>
      </c>
      <c r="B10" s="186">
        <v>0.8333333333333334</v>
      </c>
      <c r="E10" s="145" t="s">
        <v>398</v>
      </c>
      <c r="F10" s="183" t="s">
        <v>172</v>
      </c>
      <c r="G10" s="145" t="s">
        <v>770</v>
      </c>
    </row>
    <row r="11" spans="5:7" ht="14.25">
      <c r="E11" s="145">
        <v>230</v>
      </c>
      <c r="F11" s="183" t="s">
        <v>260</v>
      </c>
      <c r="G11" s="145" t="s">
        <v>770</v>
      </c>
    </row>
    <row r="13" spans="2:3" ht="14.25">
      <c r="B13" s="184" t="s">
        <v>305</v>
      </c>
      <c r="C13" s="184" t="s">
        <v>252</v>
      </c>
    </row>
    <row r="14" spans="1:6" ht="14.25">
      <c r="A14" s="187" t="s">
        <v>181</v>
      </c>
      <c r="B14" s="186">
        <v>0.4791666666666667</v>
      </c>
      <c r="D14" s="268" t="s">
        <v>399</v>
      </c>
      <c r="E14" s="280">
        <v>30</v>
      </c>
      <c r="F14" s="281" t="s">
        <v>260</v>
      </c>
    </row>
    <row r="15" spans="1:6" ht="14.25">
      <c r="A15" s="187" t="s">
        <v>181</v>
      </c>
      <c r="B15" s="186">
        <v>0.5</v>
      </c>
      <c r="D15" s="268"/>
      <c r="E15" s="280"/>
      <c r="F15" s="281"/>
    </row>
    <row r="16" spans="1:6" ht="14.25">
      <c r="A16" s="187" t="s">
        <v>181</v>
      </c>
      <c r="B16" s="186">
        <v>0.7708333333333334</v>
      </c>
      <c r="D16" s="268"/>
      <c r="E16" s="280"/>
      <c r="F16" s="281"/>
    </row>
    <row r="18" spans="2:4" ht="14.25">
      <c r="B18" s="184" t="s">
        <v>252</v>
      </c>
      <c r="C18" s="184" t="s">
        <v>306</v>
      </c>
      <c r="D18" s="268" t="s">
        <v>400</v>
      </c>
    </row>
    <row r="19" spans="1:6" ht="15" customHeight="1">
      <c r="A19" s="187" t="s">
        <v>181</v>
      </c>
      <c r="B19" s="186">
        <v>0.7083333333333334</v>
      </c>
      <c r="D19" s="268"/>
      <c r="E19" s="145">
        <v>52</v>
      </c>
      <c r="F19" s="183" t="s">
        <v>260</v>
      </c>
    </row>
    <row r="20" spans="2:4" ht="14.25">
      <c r="B20" s="186">
        <v>0.7291666666666666</v>
      </c>
      <c r="D20" s="268"/>
    </row>
    <row r="21" spans="2:4" ht="14.25">
      <c r="B21" s="186">
        <v>0.7708333333333334</v>
      </c>
      <c r="D21" s="268"/>
    </row>
    <row r="22" spans="2:4" ht="14.25">
      <c r="B22" s="186">
        <v>0.8125</v>
      </c>
      <c r="D22" s="268"/>
    </row>
    <row r="23" spans="2:4" ht="14.25">
      <c r="B23" s="186">
        <v>0.8333333333333334</v>
      </c>
      <c r="D23" s="268"/>
    </row>
    <row r="24" spans="2:4" ht="14.25">
      <c r="B24" s="186">
        <v>0.8541666666666666</v>
      </c>
      <c r="D24" s="268"/>
    </row>
    <row r="26" spans="2:3" ht="14.25">
      <c r="B26" s="184" t="s">
        <v>306</v>
      </c>
      <c r="C26" s="184" t="s">
        <v>401</v>
      </c>
    </row>
    <row r="27" spans="1:7" ht="14.25">
      <c r="A27" s="145" t="s">
        <v>181</v>
      </c>
      <c r="B27" s="183" t="s">
        <v>402</v>
      </c>
      <c r="E27" s="145">
        <v>10</v>
      </c>
      <c r="F27" s="183" t="s">
        <v>260</v>
      </c>
      <c r="G27" s="145" t="s">
        <v>403</v>
      </c>
    </row>
    <row r="28" spans="5:7" ht="14.25">
      <c r="E28" s="145">
        <v>3.5</v>
      </c>
      <c r="F28" s="183" t="s">
        <v>172</v>
      </c>
      <c r="G28" s="145" t="s">
        <v>404</v>
      </c>
    </row>
    <row r="30" spans="2:3" ht="14.25">
      <c r="B30" s="184" t="s">
        <v>306</v>
      </c>
      <c r="C30" s="184" t="s">
        <v>307</v>
      </c>
    </row>
    <row r="31" spans="1:7" ht="14.25">
      <c r="A31" s="145" t="s">
        <v>181</v>
      </c>
      <c r="B31" s="183" t="s">
        <v>505</v>
      </c>
      <c r="G31" s="145" t="s">
        <v>405</v>
      </c>
    </row>
    <row r="33" spans="2:3" ht="14.25">
      <c r="B33" s="184" t="s">
        <v>406</v>
      </c>
      <c r="C33" s="184" t="s">
        <v>306</v>
      </c>
    </row>
    <row r="34" ht="14.25">
      <c r="B34" s="186">
        <v>0.3958333333333333</v>
      </c>
    </row>
    <row r="35" ht="14.25">
      <c r="B35" s="186">
        <v>0.6875</v>
      </c>
    </row>
    <row r="36" spans="2:6" ht="14.25">
      <c r="B36" s="186">
        <v>0.7083333333333334</v>
      </c>
      <c r="E36" s="145">
        <v>50</v>
      </c>
      <c r="F36" s="183" t="s">
        <v>407</v>
      </c>
    </row>
    <row r="37" ht="14.25">
      <c r="B37" s="186">
        <v>0.7291666666666666</v>
      </c>
    </row>
    <row r="38" ht="14.25">
      <c r="B38" s="186">
        <v>0.7916666666666666</v>
      </c>
    </row>
    <row r="39" ht="14.25">
      <c r="B39" s="186">
        <v>0.8125</v>
      </c>
    </row>
    <row r="40" ht="14.25">
      <c r="B40" s="186">
        <v>0.8333333333333334</v>
      </c>
    </row>
    <row r="41" ht="14.25">
      <c r="B41" s="186">
        <v>0.8541666666666666</v>
      </c>
    </row>
    <row r="42" ht="14.25">
      <c r="B42" s="186">
        <v>0.8958333333333334</v>
      </c>
    </row>
    <row r="45" spans="2:3" ht="14.25">
      <c r="B45" s="184" t="s">
        <v>306</v>
      </c>
      <c r="C45" s="184" t="s">
        <v>408</v>
      </c>
    </row>
    <row r="46" spans="1:7" ht="14.25">
      <c r="A46" s="145" t="s">
        <v>181</v>
      </c>
      <c r="B46" s="263">
        <v>0.3958333333333333</v>
      </c>
      <c r="G46" s="145" t="s">
        <v>409</v>
      </c>
    </row>
    <row r="47" spans="2:4" ht="14.25">
      <c r="B47" s="263">
        <v>0.5833333333333334</v>
      </c>
      <c r="D47" s="282" t="s">
        <v>410</v>
      </c>
    </row>
    <row r="48" spans="2:4" ht="14.25">
      <c r="B48" s="263">
        <v>0.6875</v>
      </c>
      <c r="D48" s="282"/>
    </row>
    <row r="49" spans="2:6" ht="14.25">
      <c r="B49" s="186">
        <v>0.7083333333333334</v>
      </c>
      <c r="D49" s="282"/>
      <c r="E49" s="145">
        <v>130</v>
      </c>
      <c r="F49" s="183" t="s">
        <v>260</v>
      </c>
    </row>
    <row r="50" spans="2:4" ht="14.25">
      <c r="B50" s="186">
        <v>0.7291666666666666</v>
      </c>
      <c r="D50" s="282"/>
    </row>
    <row r="51" spans="2:4" ht="14.25">
      <c r="B51" s="186">
        <v>0.7916666666666666</v>
      </c>
      <c r="D51" s="282"/>
    </row>
    <row r="52" spans="2:4" ht="14.25">
      <c r="B52" s="186">
        <v>0.8125</v>
      </c>
      <c r="D52" s="282"/>
    </row>
    <row r="53" spans="2:4" ht="14.25">
      <c r="B53" s="186">
        <v>0.8333333333333334</v>
      </c>
      <c r="D53" s="282"/>
    </row>
    <row r="54" spans="2:4" ht="14.25">
      <c r="B54" s="186">
        <v>0.8541666666666666</v>
      </c>
      <c r="D54" s="282"/>
    </row>
    <row r="57" spans="2:3" ht="14.25">
      <c r="B57" s="184" t="s">
        <v>310</v>
      </c>
      <c r="C57" s="184" t="s">
        <v>311</v>
      </c>
    </row>
    <row r="58" spans="1:6" ht="14.25">
      <c r="A58" s="145" t="s">
        <v>181</v>
      </c>
      <c r="B58" s="186">
        <v>0.5833333333333334</v>
      </c>
      <c r="C58" s="187">
        <v>0.8333333333333334</v>
      </c>
      <c r="D58" s="188" t="s">
        <v>411</v>
      </c>
      <c r="E58" s="145">
        <v>60</v>
      </c>
      <c r="F58" s="183" t="s">
        <v>327</v>
      </c>
    </row>
    <row r="59" ht="14.25">
      <c r="D59" s="189"/>
    </row>
    <row r="60" spans="2:4" ht="14.25">
      <c r="B60" s="184" t="s">
        <v>311</v>
      </c>
      <c r="C60" s="184" t="s">
        <v>310</v>
      </c>
      <c r="D60" s="189"/>
    </row>
    <row r="61" spans="1:6" ht="14.25">
      <c r="A61" s="145" t="s">
        <v>181</v>
      </c>
      <c r="B61" s="186">
        <v>0.25</v>
      </c>
      <c r="C61" s="187">
        <v>0.5</v>
      </c>
      <c r="D61" s="188" t="s">
        <v>411</v>
      </c>
      <c r="E61" s="145">
        <v>60</v>
      </c>
      <c r="F61" s="183" t="s">
        <v>327</v>
      </c>
    </row>
    <row r="62" spans="2:7" ht="14.25">
      <c r="B62" s="263">
        <v>0.625</v>
      </c>
      <c r="C62" s="187">
        <v>0.875</v>
      </c>
      <c r="D62" s="188" t="s">
        <v>411</v>
      </c>
      <c r="E62" s="145">
        <v>60</v>
      </c>
      <c r="F62" s="183" t="s">
        <v>327</v>
      </c>
      <c r="G62" s="145" t="s">
        <v>412</v>
      </c>
    </row>
    <row r="63" ht="14.25">
      <c r="D63" s="189"/>
    </row>
    <row r="64" spans="2:4" ht="14.25">
      <c r="B64" s="184" t="s">
        <v>413</v>
      </c>
      <c r="C64" s="184" t="s">
        <v>311</v>
      </c>
      <c r="D64" s="189"/>
    </row>
    <row r="65" spans="1:7" ht="14.25">
      <c r="A65" s="145" t="s">
        <v>181</v>
      </c>
      <c r="B65" s="186">
        <v>0.25</v>
      </c>
      <c r="C65" s="187">
        <v>0.4375</v>
      </c>
      <c r="D65" s="188" t="s">
        <v>411</v>
      </c>
      <c r="E65" s="145">
        <v>55</v>
      </c>
      <c r="F65" s="183" t="s">
        <v>327</v>
      </c>
      <c r="G65" s="145" t="s">
        <v>414</v>
      </c>
    </row>
    <row r="66" spans="2:6" ht="14.25">
      <c r="B66" s="186">
        <v>0.375</v>
      </c>
      <c r="C66" s="187">
        <v>0.5625</v>
      </c>
      <c r="D66" s="188" t="s">
        <v>411</v>
      </c>
      <c r="E66" s="145">
        <v>55</v>
      </c>
      <c r="F66" s="183" t="s">
        <v>327</v>
      </c>
    </row>
    <row r="68" spans="2:3" ht="14.25">
      <c r="B68" s="184" t="s">
        <v>310</v>
      </c>
      <c r="C68" s="184" t="s">
        <v>415</v>
      </c>
    </row>
    <row r="69" spans="1:7" ht="14.25">
      <c r="A69" s="145" t="s">
        <v>181</v>
      </c>
      <c r="B69" s="186">
        <v>0.4791666666666667</v>
      </c>
      <c r="C69" s="145" t="s">
        <v>416</v>
      </c>
      <c r="D69" s="183" t="s">
        <v>417</v>
      </c>
      <c r="E69" s="145">
        <v>240</v>
      </c>
      <c r="F69" s="183" t="s">
        <v>348</v>
      </c>
      <c r="G69" s="145" t="s">
        <v>418</v>
      </c>
    </row>
    <row r="72" spans="2:3" ht="14.25">
      <c r="B72" s="184" t="s">
        <v>303</v>
      </c>
      <c r="C72" s="184" t="s">
        <v>247</v>
      </c>
    </row>
    <row r="73" spans="1:7" ht="14.25">
      <c r="A73" s="145" t="s">
        <v>181</v>
      </c>
      <c r="B73" s="183" t="s">
        <v>419</v>
      </c>
      <c r="E73" s="145">
        <v>35000</v>
      </c>
      <c r="F73" s="183" t="s">
        <v>11</v>
      </c>
      <c r="G73" s="145" t="s">
        <v>420</v>
      </c>
    </row>
    <row r="75" spans="2:3" ht="14.25">
      <c r="B75" s="208" t="s">
        <v>308</v>
      </c>
      <c r="C75" s="208" t="s">
        <v>378</v>
      </c>
    </row>
    <row r="76" spans="1:6" ht="14.25">
      <c r="A76" s="145" t="s">
        <v>181</v>
      </c>
      <c r="B76" s="183" t="s">
        <v>419</v>
      </c>
      <c r="E76" s="145" t="s">
        <v>506</v>
      </c>
      <c r="F76" s="183" t="s">
        <v>185</v>
      </c>
    </row>
    <row r="80" spans="2:3" ht="14.25">
      <c r="B80" s="208" t="s">
        <v>307</v>
      </c>
      <c r="C80" s="208" t="s">
        <v>308</v>
      </c>
    </row>
    <row r="122" ht="14.25">
      <c r="A122" s="182" t="s">
        <v>421</v>
      </c>
    </row>
    <row r="126" spans="1:3" ht="14.25">
      <c r="A126" s="145" t="s">
        <v>263</v>
      </c>
      <c r="B126" s="183" t="s">
        <v>422</v>
      </c>
      <c r="C126" s="145" t="s">
        <v>423</v>
      </c>
    </row>
    <row r="127" spans="1:3" ht="14.25">
      <c r="A127" s="145" t="s">
        <v>424</v>
      </c>
      <c r="B127" s="186">
        <v>0.5</v>
      </c>
      <c r="C127" s="187">
        <v>0.2986111111111111</v>
      </c>
    </row>
    <row r="128" spans="1:3" ht="14.25">
      <c r="A128" s="145" t="s">
        <v>425</v>
      </c>
      <c r="B128" s="186">
        <v>0.7916666666666666</v>
      </c>
      <c r="C128" s="187">
        <v>0.3611111111111111</v>
      </c>
    </row>
    <row r="129" spans="1:3" ht="14.25">
      <c r="A129" s="145" t="s">
        <v>426</v>
      </c>
      <c r="B129" s="186">
        <v>0.6875</v>
      </c>
      <c r="C129" s="187">
        <v>0.3645833333333333</v>
      </c>
    </row>
    <row r="132" spans="2:3" ht="14.25">
      <c r="B132" s="183" t="s">
        <v>427</v>
      </c>
      <c r="C132" s="145" t="s">
        <v>339</v>
      </c>
    </row>
    <row r="133" spans="2:6" ht="14.25">
      <c r="B133" s="186">
        <v>0.2340277777777778</v>
      </c>
      <c r="E133" s="145">
        <v>99</v>
      </c>
      <c r="F133" s="183" t="s">
        <v>185</v>
      </c>
    </row>
    <row r="134" spans="2:6" ht="14.25">
      <c r="B134" s="186">
        <v>0.2569444444444445</v>
      </c>
      <c r="E134" s="145">
        <v>138</v>
      </c>
      <c r="F134" s="183" t="s">
        <v>185</v>
      </c>
    </row>
    <row r="135" spans="2:6" ht="14.25">
      <c r="B135" s="186">
        <v>0.37013888888888885</v>
      </c>
      <c r="C135" s="267" t="s">
        <v>428</v>
      </c>
      <c r="D135" s="183" t="s">
        <v>429</v>
      </c>
      <c r="E135" s="145">
        <v>138</v>
      </c>
      <c r="F135" s="183" t="s">
        <v>185</v>
      </c>
    </row>
    <row r="136" spans="2:6" ht="14.25">
      <c r="B136" s="186">
        <v>0.5069444444444444</v>
      </c>
      <c r="C136" s="267"/>
      <c r="E136" s="145">
        <v>109</v>
      </c>
      <c r="F136" s="183" t="s">
        <v>185</v>
      </c>
    </row>
    <row r="137" spans="2:6" ht="14.25">
      <c r="B137" s="186">
        <v>0.7902777777777777</v>
      </c>
      <c r="E137" s="145">
        <v>99</v>
      </c>
      <c r="F137" s="183" t="s">
        <v>185</v>
      </c>
    </row>
    <row r="138" spans="2:6" ht="14.25">
      <c r="B138" s="186">
        <v>0.8576388888888888</v>
      </c>
      <c r="E138" s="145">
        <v>99</v>
      </c>
      <c r="F138" s="183" t="s">
        <v>185</v>
      </c>
    </row>
    <row r="140" spans="2:3" ht="14.25">
      <c r="B140" s="183" t="s">
        <v>339</v>
      </c>
      <c r="C140" s="145" t="s">
        <v>427</v>
      </c>
    </row>
    <row r="141" spans="2:6" ht="14.25">
      <c r="B141" s="186">
        <v>0.23263888888888887</v>
      </c>
      <c r="E141" s="145">
        <v>99</v>
      </c>
      <c r="F141" s="183" t="s">
        <v>185</v>
      </c>
    </row>
    <row r="142" spans="2:6" ht="14.25">
      <c r="B142" s="186">
        <v>0.3958333333333333</v>
      </c>
      <c r="E142" s="145">
        <v>99</v>
      </c>
      <c r="F142" s="183" t="s">
        <v>185</v>
      </c>
    </row>
    <row r="143" spans="2:6" ht="14.25">
      <c r="B143" s="186">
        <v>0.5819444444444445</v>
      </c>
      <c r="E143" s="145">
        <v>109</v>
      </c>
      <c r="F143" s="183" t="s">
        <v>185</v>
      </c>
    </row>
    <row r="144" spans="2:6" ht="14.25">
      <c r="B144" s="186">
        <v>0.6013888888888889</v>
      </c>
      <c r="D144" s="183" t="s">
        <v>429</v>
      </c>
      <c r="E144" s="145">
        <v>99</v>
      </c>
      <c r="F144" s="183" t="s">
        <v>185</v>
      </c>
    </row>
    <row r="145" spans="2:6" ht="14.25">
      <c r="B145" s="186">
        <v>0.7520833333333333</v>
      </c>
      <c r="E145" s="145">
        <v>99</v>
      </c>
      <c r="F145" s="183" t="s">
        <v>185</v>
      </c>
    </row>
    <row r="146" spans="2:6" ht="14.25">
      <c r="B146" s="186">
        <v>0.8888888888888888</v>
      </c>
      <c r="E146" s="145">
        <v>99</v>
      </c>
      <c r="F146" s="183" t="s">
        <v>185</v>
      </c>
    </row>
  </sheetData>
  <sheetProtection/>
  <mergeCells count="6">
    <mergeCell ref="C135:C136"/>
    <mergeCell ref="D14:D16"/>
    <mergeCell ref="E14:E16"/>
    <mergeCell ref="F14:F16"/>
    <mergeCell ref="D18:D24"/>
    <mergeCell ref="D47:D5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0">
      <selection activeCell="A31" sqref="A31:G32"/>
    </sheetView>
  </sheetViews>
  <sheetFormatPr defaultColWidth="9.140625" defaultRowHeight="12.75"/>
  <cols>
    <col min="1" max="1" width="18.140625" style="0" customWidth="1"/>
    <col min="2" max="2" width="27.7109375" style="0" customWidth="1"/>
    <col min="3" max="3" width="11.00390625" style="2" customWidth="1"/>
    <col min="7" max="7" width="9.57421875" style="0" bestFit="1" customWidth="1"/>
  </cols>
  <sheetData>
    <row r="1" spans="1:7" ht="12.75">
      <c r="A1" s="270" t="s">
        <v>315</v>
      </c>
      <c r="B1" s="270"/>
      <c r="C1" s="270"/>
      <c r="D1" s="270"/>
      <c r="E1" s="270"/>
      <c r="F1" s="270"/>
      <c r="G1" s="270"/>
    </row>
    <row r="2" spans="1:7" ht="12.75">
      <c r="A2" s="92" t="s">
        <v>316</v>
      </c>
      <c r="B2" s="92" t="s">
        <v>318</v>
      </c>
      <c r="C2" s="271" t="s">
        <v>320</v>
      </c>
      <c r="D2" s="92" t="s">
        <v>321</v>
      </c>
      <c r="E2" s="92" t="s">
        <v>187</v>
      </c>
      <c r="F2" s="92" t="s">
        <v>321</v>
      </c>
      <c r="G2" s="92" t="s">
        <v>322</v>
      </c>
    </row>
    <row r="3" spans="1:8" ht="12.75">
      <c r="A3" s="92" t="s">
        <v>317</v>
      </c>
      <c r="B3" s="92" t="s">
        <v>319</v>
      </c>
      <c r="C3" s="271"/>
      <c r="D3" s="92"/>
      <c r="E3" s="92"/>
      <c r="F3" s="93"/>
      <c r="G3" s="94"/>
      <c r="H3" s="76"/>
    </row>
    <row r="4" spans="1:8" ht="12.75">
      <c r="A4" s="88" t="s">
        <v>303</v>
      </c>
      <c r="B4" s="88"/>
      <c r="C4" s="95"/>
      <c r="D4" s="88"/>
      <c r="E4" s="88"/>
      <c r="F4" s="90"/>
      <c r="G4" s="89"/>
      <c r="H4" s="76" t="s">
        <v>11</v>
      </c>
    </row>
    <row r="5" spans="1:8" ht="12.75">
      <c r="A5" s="88" t="s">
        <v>304</v>
      </c>
      <c r="B5" s="88" t="s">
        <v>324</v>
      </c>
      <c r="C5" s="95">
        <v>8000</v>
      </c>
      <c r="D5" s="88" t="s">
        <v>11</v>
      </c>
      <c r="E5" s="88">
        <f>E6*C5</f>
        <v>16000</v>
      </c>
      <c r="F5" s="88" t="s">
        <v>11</v>
      </c>
      <c r="G5" s="89">
        <f>E5/266</f>
        <v>60.150375939849624</v>
      </c>
      <c r="H5" s="76">
        <f>E5+E10</f>
        <v>30000</v>
      </c>
    </row>
    <row r="6" spans="1:8" ht="12.75">
      <c r="A6" s="90" t="s">
        <v>377</v>
      </c>
      <c r="B6" s="91"/>
      <c r="C6" s="95" t="s">
        <v>578</v>
      </c>
      <c r="D6" s="88"/>
      <c r="E6" s="88">
        <v>2</v>
      </c>
      <c r="F6" s="88"/>
      <c r="G6" s="89"/>
      <c r="H6" s="76"/>
    </row>
    <row r="7" spans="1:8" ht="12.75">
      <c r="A7" s="272" t="s">
        <v>575</v>
      </c>
      <c r="B7" s="273"/>
      <c r="C7" s="273"/>
      <c r="D7" s="273"/>
      <c r="E7" s="273"/>
      <c r="F7" s="273"/>
      <c r="G7" s="273"/>
      <c r="H7" s="76"/>
    </row>
    <row r="8" spans="1:8" ht="12.75">
      <c r="A8" s="273"/>
      <c r="B8" s="273"/>
      <c r="C8" s="273"/>
      <c r="D8" s="273"/>
      <c r="E8" s="273"/>
      <c r="F8" s="273"/>
      <c r="G8" s="273"/>
      <c r="H8" s="76"/>
    </row>
    <row r="9" spans="1:8" ht="12.75">
      <c r="A9" s="252" t="s">
        <v>247</v>
      </c>
      <c r="B9" s="253"/>
      <c r="C9" s="254"/>
      <c r="D9" s="253"/>
      <c r="E9" s="253"/>
      <c r="F9" s="253"/>
      <c r="G9" s="255"/>
      <c r="H9" s="76"/>
    </row>
    <row r="10" spans="1:8" ht="12.75">
      <c r="A10" s="253" t="s">
        <v>314</v>
      </c>
      <c r="B10" s="253" t="s">
        <v>323</v>
      </c>
      <c r="C10" s="254">
        <v>7000</v>
      </c>
      <c r="D10" s="253" t="s">
        <v>11</v>
      </c>
      <c r="E10" s="253">
        <f>E11*C10</f>
        <v>14000</v>
      </c>
      <c r="F10" s="253" t="s">
        <v>11</v>
      </c>
      <c r="G10" s="255">
        <f>E10/270</f>
        <v>51.851851851851855</v>
      </c>
      <c r="H10" s="76"/>
    </row>
    <row r="11" spans="1:8" ht="12.75">
      <c r="A11" s="253" t="s">
        <v>584</v>
      </c>
      <c r="B11" s="253"/>
      <c r="C11" s="254" t="s">
        <v>579</v>
      </c>
      <c r="D11" s="253"/>
      <c r="E11" s="253">
        <v>2</v>
      </c>
      <c r="F11" s="253"/>
      <c r="G11" s="255"/>
      <c r="H11" s="76"/>
    </row>
    <row r="12" spans="1:8" ht="12.75">
      <c r="A12" s="253" t="s">
        <v>576</v>
      </c>
      <c r="B12" s="253"/>
      <c r="C12" s="254"/>
      <c r="D12" s="253"/>
      <c r="E12" s="253"/>
      <c r="F12" s="253"/>
      <c r="G12" s="255"/>
      <c r="H12" s="76"/>
    </row>
    <row r="13" spans="1:8" ht="12.75">
      <c r="A13" s="88" t="s">
        <v>305</v>
      </c>
      <c r="B13" s="88"/>
      <c r="C13" s="95"/>
      <c r="D13" s="88"/>
      <c r="E13" s="88"/>
      <c r="F13" s="88"/>
      <c r="G13" s="89"/>
      <c r="H13" s="76"/>
    </row>
    <row r="14" spans="1:8" ht="12.75">
      <c r="A14" s="88" t="s">
        <v>325</v>
      </c>
      <c r="B14" s="88"/>
      <c r="C14" s="95"/>
      <c r="D14" s="88"/>
      <c r="E14" s="88"/>
      <c r="F14" s="88"/>
      <c r="G14" s="89"/>
      <c r="H14" s="76"/>
    </row>
    <row r="15" spans="1:8" ht="12.75">
      <c r="A15" s="88"/>
      <c r="B15" s="88"/>
      <c r="C15" s="95"/>
      <c r="D15" s="88"/>
      <c r="E15" s="88"/>
      <c r="F15" s="88"/>
      <c r="G15" s="89"/>
      <c r="H15" s="76"/>
    </row>
    <row r="16" spans="1:8" ht="12.75">
      <c r="A16" s="253" t="s">
        <v>252</v>
      </c>
      <c r="B16" s="253"/>
      <c r="C16" s="254">
        <v>40</v>
      </c>
      <c r="D16" s="253"/>
      <c r="E16" s="253">
        <f>E17*C16</f>
        <v>40</v>
      </c>
      <c r="F16" s="253" t="s">
        <v>326</v>
      </c>
      <c r="G16" s="255">
        <f>E16/3.5</f>
        <v>11.428571428571429</v>
      </c>
      <c r="H16" s="76"/>
    </row>
    <row r="17" spans="1:8" ht="12.75">
      <c r="A17" s="253" t="s">
        <v>577</v>
      </c>
      <c r="B17" s="253"/>
      <c r="C17" s="254" t="s">
        <v>580</v>
      </c>
      <c r="D17" s="253"/>
      <c r="E17" s="253">
        <v>1</v>
      </c>
      <c r="F17" s="252"/>
      <c r="G17" s="255"/>
      <c r="H17" s="76"/>
    </row>
    <row r="18" spans="1:8" ht="12.75">
      <c r="A18" s="274" t="s">
        <v>585</v>
      </c>
      <c r="B18" s="274"/>
      <c r="C18" s="274"/>
      <c r="D18" s="274"/>
      <c r="E18" s="274"/>
      <c r="F18" s="274"/>
      <c r="G18" s="274"/>
      <c r="H18" s="76"/>
    </row>
    <row r="19" spans="1:8" ht="12.75">
      <c r="A19" s="274"/>
      <c r="B19" s="274"/>
      <c r="C19" s="274"/>
      <c r="D19" s="274"/>
      <c r="E19" s="274"/>
      <c r="F19" s="274"/>
      <c r="G19" s="274"/>
      <c r="H19" s="76"/>
    </row>
    <row r="20" spans="1:8" ht="12.75">
      <c r="A20" s="88" t="s">
        <v>306</v>
      </c>
      <c r="B20" s="88"/>
      <c r="C20" s="95">
        <v>45</v>
      </c>
      <c r="D20" s="88" t="s">
        <v>326</v>
      </c>
      <c r="E20" s="88">
        <f>2*C20</f>
        <v>90</v>
      </c>
      <c r="F20" s="90" t="s">
        <v>326</v>
      </c>
      <c r="G20" s="89">
        <f>E20/3.5</f>
        <v>25.714285714285715</v>
      </c>
      <c r="H20" s="76" t="s">
        <v>326</v>
      </c>
    </row>
    <row r="21" spans="1:8" ht="12.75">
      <c r="A21" s="90" t="s">
        <v>582</v>
      </c>
      <c r="B21" s="91"/>
      <c r="C21" s="95" t="s">
        <v>581</v>
      </c>
      <c r="D21" s="88"/>
      <c r="E21" s="88">
        <v>2</v>
      </c>
      <c r="F21" s="90"/>
      <c r="G21" s="89"/>
      <c r="H21" s="76">
        <f>E20+E16</f>
        <v>130</v>
      </c>
    </row>
    <row r="22" spans="1:8" ht="12.75">
      <c r="A22" s="88" t="s">
        <v>583</v>
      </c>
      <c r="B22" s="88"/>
      <c r="C22" s="95"/>
      <c r="D22" s="88"/>
      <c r="E22" s="88"/>
      <c r="F22" s="88"/>
      <c r="G22" s="89"/>
      <c r="H22" s="76"/>
    </row>
    <row r="23" spans="1:8" ht="12.75">
      <c r="A23" s="239" t="s">
        <v>586</v>
      </c>
      <c r="B23" s="239"/>
      <c r="C23" s="238"/>
      <c r="D23" s="239"/>
      <c r="E23" s="239"/>
      <c r="F23" s="239"/>
      <c r="G23" s="240"/>
      <c r="H23" s="76"/>
    </row>
    <row r="24" spans="1:8" ht="12.75">
      <c r="A24" s="253" t="s">
        <v>310</v>
      </c>
      <c r="B24" s="253"/>
      <c r="C24" s="254" t="s">
        <v>565</v>
      </c>
      <c r="D24" s="253" t="s">
        <v>327</v>
      </c>
      <c r="E24" s="253" t="s">
        <v>565</v>
      </c>
      <c r="F24" s="253" t="s">
        <v>327</v>
      </c>
      <c r="G24" s="255" t="s">
        <v>565</v>
      </c>
      <c r="H24" s="76"/>
    </row>
    <row r="25" spans="1:8" ht="12.75">
      <c r="A25" s="252" t="s">
        <v>587</v>
      </c>
      <c r="B25" s="256"/>
      <c r="C25" s="254"/>
      <c r="D25" s="253"/>
      <c r="E25" s="253">
        <v>3</v>
      </c>
      <c r="F25" s="253"/>
      <c r="G25" s="255"/>
      <c r="H25" s="76" t="s">
        <v>327</v>
      </c>
    </row>
    <row r="26" spans="1:8" ht="12.75">
      <c r="A26" s="253" t="s">
        <v>588</v>
      </c>
      <c r="B26" s="253"/>
      <c r="C26" s="254"/>
      <c r="D26" s="253"/>
      <c r="E26" s="253"/>
      <c r="F26" s="253"/>
      <c r="G26" s="255"/>
      <c r="H26" s="76">
        <f>E27</f>
        <v>35</v>
      </c>
    </row>
    <row r="27" spans="1:8" ht="12.75">
      <c r="A27" s="88" t="s">
        <v>311</v>
      </c>
      <c r="B27" s="88"/>
      <c r="C27" s="95">
        <v>35</v>
      </c>
      <c r="D27" s="88" t="s">
        <v>327</v>
      </c>
      <c r="E27" s="88">
        <f>E28*C27</f>
        <v>35</v>
      </c>
      <c r="F27" s="88" t="s">
        <v>327</v>
      </c>
      <c r="G27" s="89">
        <f>E27</f>
        <v>35</v>
      </c>
      <c r="H27" s="76"/>
    </row>
    <row r="28" spans="1:8" ht="25.5">
      <c r="A28" s="88" t="s">
        <v>591</v>
      </c>
      <c r="B28" s="88"/>
      <c r="C28" s="95" t="s">
        <v>592</v>
      </c>
      <c r="D28" s="88"/>
      <c r="E28" s="88">
        <v>1</v>
      </c>
      <c r="F28" s="88"/>
      <c r="G28" s="89"/>
      <c r="H28" s="76"/>
    </row>
    <row r="29" spans="1:8" ht="12.75">
      <c r="A29" s="239" t="s">
        <v>593</v>
      </c>
      <c r="B29" s="88"/>
      <c r="C29" s="95"/>
      <c r="D29" s="88"/>
      <c r="E29" s="88"/>
      <c r="F29" s="88"/>
      <c r="G29" s="89"/>
      <c r="H29" s="76"/>
    </row>
    <row r="30" spans="1:8" ht="12.75">
      <c r="A30" s="88"/>
      <c r="B30" s="88"/>
      <c r="C30" s="95"/>
      <c r="D30" s="88"/>
      <c r="E30" s="88"/>
      <c r="F30" s="88"/>
      <c r="G30" s="89"/>
      <c r="H30" s="76"/>
    </row>
    <row r="31" spans="1:8" ht="12.75">
      <c r="A31" s="253" t="s">
        <v>589</v>
      </c>
      <c r="B31" s="253"/>
      <c r="C31" s="254" t="s">
        <v>565</v>
      </c>
      <c r="D31" s="253"/>
      <c r="E31" s="253"/>
      <c r="F31" s="253"/>
      <c r="G31" s="255"/>
      <c r="H31" s="76"/>
    </row>
    <row r="32" spans="1:8" ht="12.75">
      <c r="A32" s="253" t="s">
        <v>590</v>
      </c>
      <c r="B32" s="253"/>
      <c r="C32" s="254"/>
      <c r="D32" s="253"/>
      <c r="E32" s="253"/>
      <c r="F32" s="253"/>
      <c r="G32" s="255"/>
      <c r="H32" s="76"/>
    </row>
    <row r="33" spans="7:8" ht="12.75">
      <c r="G33" s="76"/>
      <c r="H33" s="76"/>
    </row>
    <row r="34" spans="6:8" ht="12.75">
      <c r="F34" s="96" t="s">
        <v>257</v>
      </c>
      <c r="G34" s="97">
        <f>SUM(G4:G33)</f>
        <v>184.1450849345586</v>
      </c>
      <c r="H34" s="76"/>
    </row>
    <row r="35" spans="7:8" ht="12.75">
      <c r="G35" s="97" t="s">
        <v>327</v>
      </c>
      <c r="H35" s="76"/>
    </row>
    <row r="36" spans="7:8" ht="12.75">
      <c r="G36" s="76"/>
      <c r="H36" s="76"/>
    </row>
    <row r="37" spans="7:8" ht="12.75">
      <c r="G37" s="76"/>
      <c r="H37" s="76"/>
    </row>
    <row r="38" spans="7:8" ht="12.75">
      <c r="G38" s="76"/>
      <c r="H38" s="76"/>
    </row>
    <row r="39" spans="7:8" ht="12.75">
      <c r="G39" s="76"/>
      <c r="H39" s="76"/>
    </row>
    <row r="40" spans="7:8" ht="12.75">
      <c r="G40" s="76"/>
      <c r="H40" s="76"/>
    </row>
    <row r="41" spans="7:8" ht="12.75">
      <c r="G41" s="76"/>
      <c r="H41" s="76"/>
    </row>
  </sheetData>
  <sheetProtection/>
  <mergeCells count="4">
    <mergeCell ref="A1:G1"/>
    <mergeCell ref="C2:C3"/>
    <mergeCell ref="A7:G8"/>
    <mergeCell ref="A18:G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31">
      <selection activeCell="B56" sqref="B56"/>
    </sheetView>
  </sheetViews>
  <sheetFormatPr defaultColWidth="9.140625" defaultRowHeight="12.75"/>
  <cols>
    <col min="1" max="1" width="22.00390625" style="0" bestFit="1" customWidth="1"/>
    <col min="2" max="2" width="40.8515625" style="0" bestFit="1" customWidth="1"/>
    <col min="3" max="3" width="30.8515625" style="2" bestFit="1" customWidth="1"/>
    <col min="8" max="8" width="149.57421875" style="0" bestFit="1" customWidth="1"/>
  </cols>
  <sheetData>
    <row r="1" spans="1:14" ht="12.75">
      <c r="A1" s="257" t="s">
        <v>331</v>
      </c>
      <c r="B1" s="257"/>
      <c r="C1" s="257"/>
      <c r="D1" s="257"/>
      <c r="E1" s="257"/>
      <c r="F1" s="257"/>
      <c r="G1" s="257"/>
      <c r="H1" s="257" t="s">
        <v>331</v>
      </c>
      <c r="I1" s="257"/>
      <c r="J1" s="257"/>
      <c r="K1" s="257"/>
      <c r="L1" s="257"/>
      <c r="M1" s="257"/>
      <c r="N1" s="257"/>
    </row>
    <row r="2" spans="1:8" ht="12.75">
      <c r="A2" s="101" t="s">
        <v>336</v>
      </c>
      <c r="B2" s="101"/>
      <c r="C2" s="102" t="s">
        <v>333</v>
      </c>
      <c r="D2" s="101" t="s">
        <v>334</v>
      </c>
      <c r="E2" s="101" t="s">
        <v>321</v>
      </c>
      <c r="F2" s="101" t="s">
        <v>335</v>
      </c>
      <c r="G2" s="101" t="s">
        <v>322</v>
      </c>
      <c r="H2" s="259" t="s">
        <v>689</v>
      </c>
    </row>
    <row r="3" spans="1:8" ht="12.75">
      <c r="A3" s="101" t="s">
        <v>332</v>
      </c>
      <c r="B3" s="101" t="s">
        <v>319</v>
      </c>
      <c r="C3" s="102"/>
      <c r="D3" s="101"/>
      <c r="E3" s="101"/>
      <c r="F3" s="103"/>
      <c r="G3" s="104"/>
      <c r="H3" s="258"/>
    </row>
    <row r="4" spans="1:8" s="247" customFormat="1" ht="12.75">
      <c r="A4" s="247" t="s">
        <v>303</v>
      </c>
      <c r="C4" s="248"/>
      <c r="F4" s="249"/>
      <c r="G4" s="250"/>
      <c r="H4" s="250"/>
    </row>
    <row r="5" spans="3:8" s="247" customFormat="1" ht="12.75">
      <c r="C5" s="247" t="s">
        <v>598</v>
      </c>
      <c r="D5" s="247">
        <v>800</v>
      </c>
      <c r="E5" s="247" t="s">
        <v>11</v>
      </c>
      <c r="G5" s="250">
        <f>SUM(D5:D14)/270</f>
        <v>43.38148148148148</v>
      </c>
      <c r="H5" s="250" t="s">
        <v>600</v>
      </c>
    </row>
    <row r="6" spans="1:8" s="247" customFormat="1" ht="12.75">
      <c r="A6" s="247" t="s">
        <v>605</v>
      </c>
      <c r="C6" s="247" t="s">
        <v>604</v>
      </c>
      <c r="D6" s="247">
        <v>4000</v>
      </c>
      <c r="G6" s="250"/>
      <c r="H6" s="250" t="s">
        <v>610</v>
      </c>
    </row>
    <row r="7" spans="3:8" s="247" customFormat="1" ht="12.75">
      <c r="C7" s="247" t="s">
        <v>606</v>
      </c>
      <c r="G7" s="250"/>
      <c r="H7" s="250"/>
    </row>
    <row r="8" spans="3:8" s="247" customFormat="1" ht="12.75">
      <c r="C8" s="247" t="s">
        <v>607</v>
      </c>
      <c r="G8" s="250"/>
      <c r="H8" s="250"/>
    </row>
    <row r="9" spans="1:8" s="247" customFormat="1" ht="12.75">
      <c r="A9" s="247" t="s">
        <v>609</v>
      </c>
      <c r="C9" s="247" t="s">
        <v>608</v>
      </c>
      <c r="D9" s="247">
        <v>1500</v>
      </c>
      <c r="G9" s="250"/>
      <c r="H9" s="250" t="s">
        <v>611</v>
      </c>
    </row>
    <row r="10" spans="3:8" s="247" customFormat="1" ht="12.75">
      <c r="C10" s="247" t="s">
        <v>617</v>
      </c>
      <c r="D10" s="247">
        <v>500</v>
      </c>
      <c r="G10" s="250"/>
      <c r="H10" s="250"/>
    </row>
    <row r="11" spans="1:8" s="247" customFormat="1" ht="12.75">
      <c r="A11" s="247" t="s">
        <v>615</v>
      </c>
      <c r="B11" s="247" t="s">
        <v>613</v>
      </c>
      <c r="C11" s="247" t="s">
        <v>616</v>
      </c>
      <c r="D11" s="247">
        <v>379</v>
      </c>
      <c r="G11" s="250"/>
      <c r="H11" s="250" t="s">
        <v>624</v>
      </c>
    </row>
    <row r="12" spans="1:8" s="247" customFormat="1" ht="12.75">
      <c r="A12" s="247" t="s">
        <v>615</v>
      </c>
      <c r="B12" s="247" t="s">
        <v>613</v>
      </c>
      <c r="C12" s="247" t="s">
        <v>614</v>
      </c>
      <c r="D12" s="247">
        <v>359</v>
      </c>
      <c r="G12" s="250"/>
      <c r="H12" s="250"/>
    </row>
    <row r="13" spans="1:8" s="247" customFormat="1" ht="12.75">
      <c r="A13" s="247" t="s">
        <v>619</v>
      </c>
      <c r="B13" s="247" t="s">
        <v>620</v>
      </c>
      <c r="C13" s="247" t="s">
        <v>618</v>
      </c>
      <c r="D13" s="247">
        <v>3675</v>
      </c>
      <c r="G13" s="250"/>
      <c r="H13" s="250" t="s">
        <v>625</v>
      </c>
    </row>
    <row r="14" spans="1:8" s="247" customFormat="1" ht="12.75">
      <c r="A14" s="249" t="s">
        <v>602</v>
      </c>
      <c r="B14" s="251" t="s">
        <v>603</v>
      </c>
      <c r="C14" s="248" t="s">
        <v>599</v>
      </c>
      <c r="D14" s="247">
        <v>500</v>
      </c>
      <c r="G14" s="250"/>
      <c r="H14" s="250" t="s">
        <v>601</v>
      </c>
    </row>
    <row r="15" spans="1:8" s="253" customFormat="1" ht="12.75">
      <c r="A15" s="252" t="s">
        <v>247</v>
      </c>
      <c r="C15" s="254"/>
      <c r="G15" s="255"/>
      <c r="H15" s="255"/>
    </row>
    <row r="16" spans="1:8" s="253" customFormat="1" ht="12.75">
      <c r="A16" s="253" t="s">
        <v>621</v>
      </c>
      <c r="B16" s="253" t="s">
        <v>622</v>
      </c>
      <c r="C16" s="254" t="s">
        <v>623</v>
      </c>
      <c r="D16" s="253">
        <v>5500</v>
      </c>
      <c r="E16" s="253" t="s">
        <v>11</v>
      </c>
      <c r="G16" s="255">
        <f>SUM(D16:D17,F18,F19,D20)/270</f>
        <v>51.91358024691358</v>
      </c>
      <c r="H16" s="255" t="s">
        <v>624</v>
      </c>
    </row>
    <row r="17" spans="1:8" s="253" customFormat="1" ht="12.75">
      <c r="A17" s="253" t="s">
        <v>609</v>
      </c>
      <c r="B17" s="253" t="s">
        <v>627</v>
      </c>
      <c r="C17" s="254" t="s">
        <v>628</v>
      </c>
      <c r="D17" s="253">
        <v>1000</v>
      </c>
      <c r="G17" s="255"/>
      <c r="H17" s="255" t="s">
        <v>624</v>
      </c>
    </row>
    <row r="18" spans="1:8" s="253" customFormat="1" ht="12.75">
      <c r="A18" s="253" t="s">
        <v>629</v>
      </c>
      <c r="B18" s="253" t="s">
        <v>630</v>
      </c>
      <c r="C18" s="254" t="s">
        <v>631</v>
      </c>
      <c r="D18" s="253">
        <v>3350</v>
      </c>
      <c r="F18" s="255">
        <f>D18/3</f>
        <v>1116.6666666666667</v>
      </c>
      <c r="G18" s="255"/>
      <c r="H18" s="255" t="s">
        <v>624</v>
      </c>
    </row>
    <row r="19" spans="3:8" s="253" customFormat="1" ht="12.75">
      <c r="C19" s="254" t="s">
        <v>632</v>
      </c>
      <c r="D19" s="253">
        <v>1200</v>
      </c>
      <c r="F19" s="253">
        <f>D19/3</f>
        <v>400</v>
      </c>
      <c r="G19" s="255"/>
      <c r="H19" s="255"/>
    </row>
    <row r="20" spans="1:8" s="253" customFormat="1" ht="12.75">
      <c r="A20" s="253" t="s">
        <v>633</v>
      </c>
      <c r="C20" s="254" t="s">
        <v>635</v>
      </c>
      <c r="D20" s="253">
        <v>6000</v>
      </c>
      <c r="G20" s="255"/>
      <c r="H20" s="255"/>
    </row>
    <row r="21" spans="1:8" s="247" customFormat="1" ht="12.75">
      <c r="A21" s="247" t="s">
        <v>305</v>
      </c>
      <c r="C21" s="248"/>
      <c r="G21" s="250"/>
      <c r="H21" s="250"/>
    </row>
    <row r="22" spans="1:8" s="247" customFormat="1" ht="12.75">
      <c r="A22" s="247" t="s">
        <v>325</v>
      </c>
      <c r="C22" s="248"/>
      <c r="E22" s="247" t="s">
        <v>326</v>
      </c>
      <c r="G22" s="250">
        <f>SUM(D23:D24)/3.5</f>
        <v>5.714285714285714</v>
      </c>
      <c r="H22" s="250"/>
    </row>
    <row r="23" spans="3:8" s="247" customFormat="1" ht="12.75">
      <c r="C23" s="248" t="s">
        <v>640</v>
      </c>
      <c r="D23" s="247">
        <v>10</v>
      </c>
      <c r="G23" s="250"/>
      <c r="H23" s="250" t="s">
        <v>641</v>
      </c>
    </row>
    <row r="24" spans="3:8" s="247" customFormat="1" ht="12.75">
      <c r="C24" s="248" t="s">
        <v>639</v>
      </c>
      <c r="D24" s="247">
        <v>10</v>
      </c>
      <c r="G24" s="250"/>
      <c r="H24" s="250"/>
    </row>
    <row r="25" spans="1:8" s="253" customFormat="1" ht="12.75">
      <c r="A25" s="253" t="s">
        <v>252</v>
      </c>
      <c r="C25" s="254"/>
      <c r="G25" s="255"/>
      <c r="H25" s="255"/>
    </row>
    <row r="26" spans="1:8" s="253" customFormat="1" ht="12.75">
      <c r="A26" s="253" t="s">
        <v>638</v>
      </c>
      <c r="C26" s="254" t="s">
        <v>636</v>
      </c>
      <c r="D26" s="253">
        <v>15</v>
      </c>
      <c r="E26" s="253" t="s">
        <v>326</v>
      </c>
      <c r="F26" s="252"/>
      <c r="G26" s="255">
        <f>SUM(D26:D28)/3.5</f>
        <v>9.428571428571429</v>
      </c>
      <c r="H26" s="255" t="s">
        <v>637</v>
      </c>
    </row>
    <row r="27" spans="1:8" s="253" customFormat="1" ht="25.5">
      <c r="A27" s="253" t="s">
        <v>539</v>
      </c>
      <c r="C27" s="254" t="s">
        <v>647</v>
      </c>
      <c r="D27" s="253">
        <v>16</v>
      </c>
      <c r="F27" s="252"/>
      <c r="G27" s="255"/>
      <c r="H27" s="255"/>
    </row>
    <row r="28" spans="1:8" s="253" customFormat="1" ht="12.75">
      <c r="A28" s="253" t="s">
        <v>646</v>
      </c>
      <c r="C28" s="254" t="s">
        <v>644</v>
      </c>
      <c r="D28" s="253">
        <v>2</v>
      </c>
      <c r="G28" s="255"/>
      <c r="H28" s="255" t="s">
        <v>645</v>
      </c>
    </row>
    <row r="29" spans="1:8" s="247" customFormat="1" ht="12.75">
      <c r="A29" s="247" t="s">
        <v>306</v>
      </c>
      <c r="C29" s="248"/>
      <c r="F29" s="250"/>
      <c r="H29" s="250"/>
    </row>
    <row r="30" spans="1:8" s="247" customFormat="1" ht="12.75">
      <c r="A30" s="249" t="s">
        <v>642</v>
      </c>
      <c r="B30" s="251"/>
      <c r="C30" s="248" t="s">
        <v>648</v>
      </c>
      <c r="D30" s="247">
        <v>77.5</v>
      </c>
      <c r="E30" s="247" t="s">
        <v>326</v>
      </c>
      <c r="F30" s="249"/>
      <c r="G30" s="250">
        <f>SUM(D30:D34)/3.5</f>
        <v>40.42857142857143</v>
      </c>
      <c r="H30" s="250" t="s">
        <v>643</v>
      </c>
    </row>
    <row r="31" spans="1:8" s="247" customFormat="1" ht="12.75">
      <c r="A31" s="249"/>
      <c r="B31" s="251"/>
      <c r="C31" s="248" t="s">
        <v>649</v>
      </c>
      <c r="D31" s="247">
        <v>8</v>
      </c>
      <c r="F31" s="249"/>
      <c r="G31" s="250"/>
      <c r="H31" s="250" t="s">
        <v>625</v>
      </c>
    </row>
    <row r="32" spans="1:8" s="247" customFormat="1" ht="12.75">
      <c r="A32" s="249"/>
      <c r="B32" s="251"/>
      <c r="C32" s="248" t="s">
        <v>634</v>
      </c>
      <c r="D32" s="247">
        <v>9</v>
      </c>
      <c r="F32" s="249"/>
      <c r="G32" s="250"/>
      <c r="H32" s="250"/>
    </row>
    <row r="33" spans="1:8" s="247" customFormat="1" ht="12.75">
      <c r="A33" s="249" t="s">
        <v>646</v>
      </c>
      <c r="B33" s="251"/>
      <c r="C33" s="248" t="s">
        <v>651</v>
      </c>
      <c r="D33" s="247">
        <v>10</v>
      </c>
      <c r="F33" s="249"/>
      <c r="G33" s="250"/>
      <c r="H33" s="250"/>
    </row>
    <row r="34" spans="3:8" s="247" customFormat="1" ht="12.75">
      <c r="C34" s="248" t="s">
        <v>650</v>
      </c>
      <c r="D34" s="247">
        <v>37</v>
      </c>
      <c r="G34" s="250"/>
      <c r="H34" s="250" t="s">
        <v>625</v>
      </c>
    </row>
    <row r="35" spans="1:8" s="253" customFormat="1" ht="12.75">
      <c r="A35" s="253" t="s">
        <v>309</v>
      </c>
      <c r="C35" s="254"/>
      <c r="G35" s="255"/>
      <c r="H35" s="255"/>
    </row>
    <row r="36" spans="1:8" s="253" customFormat="1" ht="12.75">
      <c r="A36" s="252" t="s">
        <v>657</v>
      </c>
      <c r="B36" s="256" t="s">
        <v>652</v>
      </c>
      <c r="C36" s="254" t="s">
        <v>653</v>
      </c>
      <c r="D36" s="253">
        <v>36</v>
      </c>
      <c r="E36" s="253" t="s">
        <v>326</v>
      </c>
      <c r="G36" s="255">
        <f>SUM(D36:D38)/3.5</f>
        <v>17.714285714285715</v>
      </c>
      <c r="H36" s="255"/>
    </row>
    <row r="37" spans="1:8" s="253" customFormat="1" ht="12.75">
      <c r="A37" s="253" t="s">
        <v>656</v>
      </c>
      <c r="B37" s="253" t="s">
        <v>655</v>
      </c>
      <c r="C37" s="254" t="s">
        <v>654</v>
      </c>
      <c r="D37" s="253">
        <v>16</v>
      </c>
      <c r="G37" s="255"/>
      <c r="H37" s="255" t="s">
        <v>624</v>
      </c>
    </row>
    <row r="38" spans="3:8" s="253" customFormat="1" ht="12.75">
      <c r="C38" s="254" t="s">
        <v>634</v>
      </c>
      <c r="D38" s="253">
        <v>10</v>
      </c>
      <c r="G38" s="255"/>
      <c r="H38" s="255"/>
    </row>
    <row r="39" spans="1:8" s="247" customFormat="1" ht="12.75">
      <c r="A39" s="247" t="s">
        <v>310</v>
      </c>
      <c r="C39" s="248"/>
      <c r="G39" s="250">
        <f>SUM(D40:D43)+(D44*1.84)</f>
        <v>64.87</v>
      </c>
      <c r="H39" s="250"/>
    </row>
    <row r="40" spans="3:8" s="247" customFormat="1" ht="12.75">
      <c r="C40" s="248" t="s">
        <v>658</v>
      </c>
      <c r="D40" s="247">
        <v>10.83</v>
      </c>
      <c r="E40" s="247" t="s">
        <v>12</v>
      </c>
      <c r="G40" s="250"/>
      <c r="H40" s="250"/>
    </row>
    <row r="41" spans="3:8" s="247" customFormat="1" ht="12.75">
      <c r="C41" s="248" t="s">
        <v>664</v>
      </c>
      <c r="D41" s="247">
        <v>8.9</v>
      </c>
      <c r="G41" s="250"/>
      <c r="H41" s="250"/>
    </row>
    <row r="42" spans="3:8" s="247" customFormat="1" ht="12.75">
      <c r="C42" s="248"/>
      <c r="D42" s="247">
        <v>5</v>
      </c>
      <c r="G42" s="250"/>
      <c r="H42" s="250"/>
    </row>
    <row r="43" spans="3:8" s="247" customFormat="1" ht="12.75">
      <c r="C43" s="248"/>
      <c r="D43" s="247">
        <v>12.54</v>
      </c>
      <c r="G43" s="250"/>
      <c r="H43" s="250"/>
    </row>
    <row r="44" spans="3:8" s="247" customFormat="1" ht="12.75">
      <c r="C44" s="248"/>
      <c r="D44" s="247">
        <v>15</v>
      </c>
      <c r="E44" s="247" t="s">
        <v>172</v>
      </c>
      <c r="G44" s="250"/>
      <c r="H44" s="250"/>
    </row>
    <row r="45" spans="1:8" s="253" customFormat="1" ht="12.75">
      <c r="A45" s="253" t="s">
        <v>311</v>
      </c>
      <c r="C45" s="254"/>
      <c r="G45" s="255"/>
      <c r="H45" s="255"/>
    </row>
    <row r="46" spans="3:8" s="253" customFormat="1" ht="12.75">
      <c r="C46" s="254"/>
      <c r="E46" s="253" t="s">
        <v>12</v>
      </c>
      <c r="G46" s="255"/>
      <c r="H46" s="255"/>
    </row>
    <row r="47" spans="3:8" s="253" customFormat="1" ht="12.75">
      <c r="C47" s="254" t="s">
        <v>659</v>
      </c>
      <c r="D47" s="253">
        <v>13.5</v>
      </c>
      <c r="G47" s="255">
        <f>SUM(D47:D51)</f>
        <v>54.699999999999996</v>
      </c>
      <c r="H47" s="255" t="s">
        <v>626</v>
      </c>
    </row>
    <row r="48" spans="1:8" s="253" customFormat="1" ht="12.75">
      <c r="A48" s="253" t="s">
        <v>690</v>
      </c>
      <c r="B48" s="253" t="s">
        <v>691</v>
      </c>
      <c r="C48" s="254" t="s">
        <v>634</v>
      </c>
      <c r="D48" s="253">
        <v>1.3</v>
      </c>
      <c r="G48" s="255"/>
      <c r="H48" s="255"/>
    </row>
    <row r="49" spans="1:8" s="253" customFormat="1" ht="25.5">
      <c r="A49" s="253" t="s">
        <v>662</v>
      </c>
      <c r="B49" s="253" t="s">
        <v>661</v>
      </c>
      <c r="C49" s="254" t="s">
        <v>660</v>
      </c>
      <c r="D49" s="253">
        <v>18</v>
      </c>
      <c r="G49" s="255"/>
      <c r="H49" s="255"/>
    </row>
    <row r="50" spans="1:8" s="253" customFormat="1" ht="12.75">
      <c r="A50" s="253" t="s">
        <v>612</v>
      </c>
      <c r="B50" s="253" t="s">
        <v>691</v>
      </c>
      <c r="C50" s="254" t="s">
        <v>663</v>
      </c>
      <c r="D50" s="253">
        <v>6</v>
      </c>
      <c r="G50" s="255"/>
      <c r="H50" s="255"/>
    </row>
    <row r="51" spans="1:8" s="253" customFormat="1" ht="12.75">
      <c r="A51" s="253" t="s">
        <v>771</v>
      </c>
      <c r="B51" s="253" t="s">
        <v>772</v>
      </c>
      <c r="C51" s="254" t="s">
        <v>665</v>
      </c>
      <c r="D51" s="253">
        <v>15.9</v>
      </c>
      <c r="G51" s="255"/>
      <c r="H51" s="255" t="s">
        <v>692</v>
      </c>
    </row>
    <row r="52" spans="1:8" s="247" customFormat="1" ht="12.75">
      <c r="A52" s="247" t="s">
        <v>589</v>
      </c>
      <c r="C52" s="248"/>
      <c r="G52" s="250"/>
      <c r="H52" s="250"/>
    </row>
    <row r="53" spans="3:8" s="247" customFormat="1" ht="12.75">
      <c r="C53" s="248" t="s">
        <v>666</v>
      </c>
      <c r="D53" s="247">
        <v>20</v>
      </c>
      <c r="G53" s="250">
        <f>D53</f>
        <v>20</v>
      </c>
      <c r="H53" s="250" t="s">
        <v>625</v>
      </c>
    </row>
    <row r="54" spans="3:8" s="247" customFormat="1" ht="12.75">
      <c r="C54" s="248"/>
      <c r="G54" s="250"/>
      <c r="H54" s="250"/>
    </row>
    <row r="55" spans="1:8" ht="12.75">
      <c r="A55" s="105"/>
      <c r="B55" s="105"/>
      <c r="C55" s="106"/>
      <c r="D55" s="105"/>
      <c r="E55" s="105"/>
      <c r="F55" s="105"/>
      <c r="G55" s="107"/>
      <c r="H55" s="76"/>
    </row>
    <row r="56" spans="6:8" ht="12.75">
      <c r="F56" s="96" t="s">
        <v>257</v>
      </c>
      <c r="G56" s="97">
        <f>SUM(G4:G55)</f>
        <v>308.15077601410934</v>
      </c>
      <c r="H56" s="76"/>
    </row>
    <row r="57" spans="7:8" ht="12.75">
      <c r="G57" s="97" t="s">
        <v>327</v>
      </c>
      <c r="H57" s="76"/>
    </row>
    <row r="58" spans="7:8" ht="12.75">
      <c r="G58" s="76"/>
      <c r="H58" s="76"/>
    </row>
    <row r="59" spans="7:8" ht="12.75">
      <c r="G59" s="76"/>
      <c r="H59" s="76"/>
    </row>
    <row r="60" spans="7:8" ht="12.75">
      <c r="G60" s="76"/>
      <c r="H60" s="76"/>
    </row>
    <row r="61" spans="7:8" ht="12.75">
      <c r="G61" s="76"/>
      <c r="H61" s="76"/>
    </row>
    <row r="62" spans="7:8" ht="12.75">
      <c r="G62" s="76"/>
      <c r="H62" s="76"/>
    </row>
    <row r="63" spans="7:8" ht="12.75">
      <c r="G63" s="76"/>
      <c r="H63" s="76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2"/>
  <sheetViews>
    <sheetView zoomScale="70" zoomScaleNormal="70" zoomScalePageLayoutView="0" workbookViewId="0" topLeftCell="A1">
      <selection activeCell="E7" sqref="E7"/>
    </sheetView>
  </sheetViews>
  <sheetFormatPr defaultColWidth="9.140625" defaultRowHeight="12.75"/>
  <cols>
    <col min="1" max="1" width="3.00390625" style="0" customWidth="1"/>
    <col min="2" max="2" width="4.7109375" style="0" customWidth="1"/>
    <col min="3" max="3" width="20.8515625" style="0" bestFit="1" customWidth="1"/>
    <col min="4" max="4" width="7.140625" style="0" customWidth="1"/>
    <col min="5" max="5" width="106.00390625" style="0" bestFit="1" customWidth="1"/>
  </cols>
  <sheetData>
    <row r="1" spans="1:5" ht="23.25">
      <c r="A1" s="275" t="s">
        <v>734</v>
      </c>
      <c r="B1" s="275"/>
      <c r="C1" s="275"/>
      <c r="D1" s="275"/>
      <c r="E1" s="275"/>
    </row>
    <row r="2" spans="1:5" ht="12.75">
      <c r="A2" s="260"/>
      <c r="B2" s="260"/>
      <c r="C2" s="261" t="s">
        <v>766</v>
      </c>
      <c r="D2" s="260"/>
      <c r="E2" s="262" t="s">
        <v>767</v>
      </c>
    </row>
    <row r="3" spans="2:5" ht="12.75">
      <c r="B3" t="s">
        <v>716</v>
      </c>
      <c r="C3" t="s">
        <v>717</v>
      </c>
      <c r="D3" t="s">
        <v>718</v>
      </c>
      <c r="E3" t="s">
        <v>735</v>
      </c>
    </row>
    <row r="4" spans="1:5" ht="12.75">
      <c r="A4">
        <v>1</v>
      </c>
      <c r="B4" t="s">
        <v>719</v>
      </c>
      <c r="C4" s="259" t="s">
        <v>203</v>
      </c>
      <c r="D4">
        <v>1</v>
      </c>
      <c r="E4" t="s">
        <v>701</v>
      </c>
    </row>
    <row r="5" spans="1:5" ht="12.75">
      <c r="A5">
        <v>2</v>
      </c>
      <c r="B5" t="s">
        <v>719</v>
      </c>
      <c r="C5" s="259" t="s">
        <v>204</v>
      </c>
      <c r="D5">
        <v>1</v>
      </c>
      <c r="E5" t="s">
        <v>698</v>
      </c>
    </row>
    <row r="6" spans="1:5" ht="12.75">
      <c r="A6">
        <v>3</v>
      </c>
      <c r="B6" t="s">
        <v>720</v>
      </c>
      <c r="C6" t="s">
        <v>205</v>
      </c>
      <c r="D6">
        <v>1</v>
      </c>
      <c r="E6" t="s">
        <v>700</v>
      </c>
    </row>
    <row r="7" spans="1:5" ht="12.75">
      <c r="A7">
        <v>4</v>
      </c>
      <c r="B7" t="s">
        <v>719</v>
      </c>
      <c r="C7" s="259" t="s">
        <v>206</v>
      </c>
      <c r="D7">
        <v>1</v>
      </c>
      <c r="E7" t="s">
        <v>699</v>
      </c>
    </row>
    <row r="8" spans="1:5" ht="12.75">
      <c r="A8">
        <v>5</v>
      </c>
      <c r="B8" t="s">
        <v>719</v>
      </c>
      <c r="C8" s="259" t="s">
        <v>693</v>
      </c>
      <c r="D8">
        <v>1</v>
      </c>
      <c r="E8" t="s">
        <v>697</v>
      </c>
    </row>
    <row r="9" spans="1:5" ht="12.75">
      <c r="A9">
        <v>6</v>
      </c>
      <c r="B9" t="s">
        <v>719</v>
      </c>
      <c r="C9" s="259" t="s">
        <v>694</v>
      </c>
      <c r="D9">
        <v>1</v>
      </c>
      <c r="E9" t="s">
        <v>696</v>
      </c>
    </row>
    <row r="10" spans="1:5" ht="12.75">
      <c r="A10">
        <v>7</v>
      </c>
      <c r="B10" t="s">
        <v>719</v>
      </c>
      <c r="C10" s="259" t="s">
        <v>207</v>
      </c>
      <c r="D10">
        <v>2</v>
      </c>
      <c r="E10" t="s">
        <v>267</v>
      </c>
    </row>
    <row r="11" spans="1:5" ht="12.75">
      <c r="A11">
        <v>8</v>
      </c>
      <c r="B11" t="s">
        <v>719</v>
      </c>
      <c r="C11" s="259" t="s">
        <v>208</v>
      </c>
      <c r="D11">
        <v>1</v>
      </c>
      <c r="E11" t="s">
        <v>268</v>
      </c>
    </row>
    <row r="12" spans="1:4" ht="12.75">
      <c r="A12">
        <v>9</v>
      </c>
      <c r="B12" t="s">
        <v>719</v>
      </c>
      <c r="C12" s="259" t="s">
        <v>209</v>
      </c>
      <c r="D12">
        <v>1</v>
      </c>
    </row>
    <row r="13" spans="1:5" ht="12.75">
      <c r="A13">
        <v>10</v>
      </c>
      <c r="B13" t="s">
        <v>719</v>
      </c>
      <c r="C13" s="259" t="s">
        <v>210</v>
      </c>
      <c r="D13">
        <v>1</v>
      </c>
      <c r="E13" t="s">
        <v>695</v>
      </c>
    </row>
    <row r="14" spans="1:5" ht="12.75">
      <c r="A14">
        <v>11</v>
      </c>
      <c r="B14" t="s">
        <v>719</v>
      </c>
      <c r="C14" s="259" t="s">
        <v>211</v>
      </c>
      <c r="D14">
        <v>3</v>
      </c>
      <c r="E14" t="s">
        <v>269</v>
      </c>
    </row>
    <row r="15" spans="1:5" ht="12.75">
      <c r="A15">
        <v>12</v>
      </c>
      <c r="B15" t="s">
        <v>719</v>
      </c>
      <c r="C15" s="259" t="s">
        <v>212</v>
      </c>
      <c r="D15">
        <v>3</v>
      </c>
      <c r="E15" t="s">
        <v>269</v>
      </c>
    </row>
    <row r="16" spans="1:5" ht="12.75">
      <c r="A16">
        <v>13</v>
      </c>
      <c r="B16" t="s">
        <v>719</v>
      </c>
      <c r="C16" s="259" t="s">
        <v>213</v>
      </c>
      <c r="D16">
        <v>1</v>
      </c>
      <c r="E16" t="s">
        <v>702</v>
      </c>
    </row>
    <row r="17" spans="1:5" ht="12.75">
      <c r="A17">
        <v>14</v>
      </c>
      <c r="B17" t="s">
        <v>720</v>
      </c>
      <c r="C17" t="s">
        <v>214</v>
      </c>
      <c r="D17">
        <v>1</v>
      </c>
      <c r="E17" t="s">
        <v>700</v>
      </c>
    </row>
    <row r="18" spans="1:5" ht="12.75">
      <c r="A18">
        <v>15</v>
      </c>
      <c r="B18" t="s">
        <v>720</v>
      </c>
      <c r="C18" s="100" t="s">
        <v>215</v>
      </c>
      <c r="D18">
        <v>1</v>
      </c>
      <c r="E18" t="s">
        <v>700</v>
      </c>
    </row>
    <row r="19" spans="1:4" ht="12.75">
      <c r="A19">
        <v>16</v>
      </c>
      <c r="B19" t="s">
        <v>720</v>
      </c>
      <c r="C19" s="259" t="s">
        <v>216</v>
      </c>
      <c r="D19">
        <v>1</v>
      </c>
    </row>
    <row r="20" spans="1:4" ht="12.75">
      <c r="A20">
        <v>17</v>
      </c>
      <c r="B20" t="s">
        <v>719</v>
      </c>
      <c r="C20" s="259" t="s">
        <v>217</v>
      </c>
      <c r="D20">
        <v>1</v>
      </c>
    </row>
    <row r="21" spans="1:4" ht="12.75">
      <c r="A21">
        <v>18</v>
      </c>
      <c r="B21" t="s">
        <v>720</v>
      </c>
      <c r="C21" t="s">
        <v>218</v>
      </c>
      <c r="D21" t="s">
        <v>299</v>
      </c>
    </row>
    <row r="22" spans="1:5" ht="12.75">
      <c r="A22">
        <v>19</v>
      </c>
      <c r="B22" t="s">
        <v>720</v>
      </c>
      <c r="C22" s="259" t="s">
        <v>219</v>
      </c>
      <c r="D22">
        <v>1</v>
      </c>
      <c r="E22" t="s">
        <v>697</v>
      </c>
    </row>
    <row r="23" spans="1:4" ht="12.75">
      <c r="A23">
        <v>20</v>
      </c>
      <c r="B23" t="s">
        <v>720</v>
      </c>
      <c r="C23" t="s">
        <v>220</v>
      </c>
      <c r="D23" t="s">
        <v>299</v>
      </c>
    </row>
    <row r="24" spans="1:4" ht="12.75">
      <c r="A24">
        <v>21</v>
      </c>
      <c r="B24" t="s">
        <v>720</v>
      </c>
      <c r="C24" t="s">
        <v>221</v>
      </c>
      <c r="D24" t="s">
        <v>276</v>
      </c>
    </row>
    <row r="25" spans="1:5" ht="12.75">
      <c r="A25">
        <v>22</v>
      </c>
      <c r="B25" t="s">
        <v>720</v>
      </c>
      <c r="C25" t="s">
        <v>222</v>
      </c>
      <c r="D25">
        <v>1</v>
      </c>
      <c r="E25" t="s">
        <v>700</v>
      </c>
    </row>
    <row r="26" spans="1:5" ht="12.75">
      <c r="A26">
        <v>23</v>
      </c>
      <c r="B26" t="s">
        <v>720</v>
      </c>
      <c r="C26" t="s">
        <v>223</v>
      </c>
      <c r="D26">
        <v>1</v>
      </c>
      <c r="E26" t="s">
        <v>700</v>
      </c>
    </row>
    <row r="27" spans="1:5" ht="12.75">
      <c r="A27">
        <v>24</v>
      </c>
      <c r="B27" t="s">
        <v>720</v>
      </c>
      <c r="C27" t="s">
        <v>224</v>
      </c>
      <c r="D27">
        <v>2</v>
      </c>
      <c r="E27" t="s">
        <v>700</v>
      </c>
    </row>
    <row r="28" spans="1:5" ht="12.75">
      <c r="A28">
        <v>25</v>
      </c>
      <c r="B28" t="s">
        <v>720</v>
      </c>
      <c r="C28" t="s">
        <v>225</v>
      </c>
      <c r="D28">
        <v>10</v>
      </c>
      <c r="E28" t="s">
        <v>700</v>
      </c>
    </row>
    <row r="29" spans="1:4" ht="12.75">
      <c r="A29">
        <v>26</v>
      </c>
      <c r="B29" t="s">
        <v>720</v>
      </c>
      <c r="C29" s="259" t="s">
        <v>264</v>
      </c>
      <c r="D29">
        <v>1</v>
      </c>
    </row>
    <row r="30" spans="1:5" ht="12.75">
      <c r="A30">
        <v>27</v>
      </c>
      <c r="B30" t="s">
        <v>719</v>
      </c>
      <c r="C30" s="259" t="s">
        <v>226</v>
      </c>
      <c r="D30">
        <v>1</v>
      </c>
      <c r="E30" t="s">
        <v>300</v>
      </c>
    </row>
    <row r="31" spans="1:5" ht="12.75">
      <c r="A31">
        <v>28</v>
      </c>
      <c r="B31" t="s">
        <v>719</v>
      </c>
      <c r="C31" s="259" t="s">
        <v>227</v>
      </c>
      <c r="E31" t="s">
        <v>722</v>
      </c>
    </row>
    <row r="32" spans="1:5" ht="12.75">
      <c r="A32">
        <v>29</v>
      </c>
      <c r="B32" t="s">
        <v>719</v>
      </c>
      <c r="C32" s="259" t="s">
        <v>228</v>
      </c>
      <c r="D32" t="s">
        <v>276</v>
      </c>
      <c r="E32" t="s">
        <v>721</v>
      </c>
    </row>
    <row r="33" spans="1:5" ht="12.75">
      <c r="A33">
        <v>30</v>
      </c>
      <c r="B33" t="s">
        <v>719</v>
      </c>
      <c r="C33" s="259" t="s">
        <v>229</v>
      </c>
      <c r="D33">
        <v>2</v>
      </c>
      <c r="E33" t="s">
        <v>266</v>
      </c>
    </row>
    <row r="34" spans="1:4" ht="12.75">
      <c r="A34">
        <v>31</v>
      </c>
      <c r="B34" t="s">
        <v>719</v>
      </c>
      <c r="C34" s="259" t="s">
        <v>230</v>
      </c>
      <c r="D34">
        <v>1</v>
      </c>
    </row>
    <row r="35" spans="1:4" ht="12.75">
      <c r="A35">
        <v>32</v>
      </c>
      <c r="B35" t="s">
        <v>719</v>
      </c>
      <c r="C35" s="259" t="s">
        <v>231</v>
      </c>
      <c r="D35">
        <v>1</v>
      </c>
    </row>
    <row r="36" spans="1:4" ht="12.75">
      <c r="A36">
        <v>33</v>
      </c>
      <c r="B36" t="s">
        <v>719</v>
      </c>
      <c r="C36" s="259" t="s">
        <v>232</v>
      </c>
      <c r="D36">
        <v>2</v>
      </c>
    </row>
    <row r="37" spans="1:4" ht="12.75">
      <c r="A37">
        <v>34</v>
      </c>
      <c r="B37" t="s">
        <v>719</v>
      </c>
      <c r="C37" s="259" t="s">
        <v>265</v>
      </c>
      <c r="D37">
        <v>1</v>
      </c>
    </row>
    <row r="38" spans="1:5" ht="12.75">
      <c r="A38">
        <v>35</v>
      </c>
      <c r="B38" t="s">
        <v>720</v>
      </c>
      <c r="C38" t="s">
        <v>270</v>
      </c>
      <c r="D38">
        <v>1</v>
      </c>
      <c r="E38" t="s">
        <v>700</v>
      </c>
    </row>
    <row r="39" spans="1:4" ht="12.75">
      <c r="A39">
        <v>36</v>
      </c>
      <c r="B39" t="s">
        <v>719</v>
      </c>
      <c r="C39" s="259" t="s">
        <v>723</v>
      </c>
      <c r="D39">
        <v>1</v>
      </c>
    </row>
    <row r="40" spans="1:4" ht="12.75">
      <c r="A40">
        <v>37</v>
      </c>
      <c r="B40" t="s">
        <v>719</v>
      </c>
      <c r="C40" s="259" t="s">
        <v>724</v>
      </c>
      <c r="D40">
        <v>1</v>
      </c>
    </row>
    <row r="41" spans="1:5" ht="12.75">
      <c r="A41">
        <v>38</v>
      </c>
      <c r="B41" t="s">
        <v>720</v>
      </c>
      <c r="C41" s="259" t="s">
        <v>725</v>
      </c>
      <c r="D41">
        <v>8</v>
      </c>
      <c r="E41" t="s">
        <v>764</v>
      </c>
    </row>
    <row r="42" spans="1:5" ht="12.75">
      <c r="A42">
        <v>39</v>
      </c>
      <c r="B42" t="s">
        <v>719</v>
      </c>
      <c r="C42" s="247" t="s">
        <v>725</v>
      </c>
      <c r="D42">
        <v>8</v>
      </c>
      <c r="E42" t="s">
        <v>726</v>
      </c>
    </row>
    <row r="43" spans="1:4" ht="12.75">
      <c r="A43">
        <v>40</v>
      </c>
      <c r="B43" t="s">
        <v>720</v>
      </c>
      <c r="C43" s="259" t="s">
        <v>233</v>
      </c>
      <c r="D43">
        <v>1</v>
      </c>
    </row>
    <row r="44" spans="1:4" ht="12.75">
      <c r="A44">
        <v>41</v>
      </c>
      <c r="B44" t="s">
        <v>719</v>
      </c>
      <c r="C44" s="259" t="s">
        <v>234</v>
      </c>
      <c r="D44">
        <v>1</v>
      </c>
    </row>
    <row r="45" spans="1:5" ht="12.75">
      <c r="A45">
        <v>42</v>
      </c>
      <c r="B45" t="s">
        <v>719</v>
      </c>
      <c r="C45" s="259" t="s">
        <v>235</v>
      </c>
      <c r="D45">
        <v>2</v>
      </c>
      <c r="E45" t="s">
        <v>727</v>
      </c>
    </row>
    <row r="46" spans="1:5" ht="12.75">
      <c r="A46">
        <v>43</v>
      </c>
      <c r="B46" t="s">
        <v>719</v>
      </c>
      <c r="C46" s="259" t="s">
        <v>236</v>
      </c>
      <c r="D46">
        <v>2</v>
      </c>
      <c r="E46" t="s">
        <v>728</v>
      </c>
    </row>
    <row r="47" spans="1:5" ht="12.75">
      <c r="A47">
        <v>44</v>
      </c>
      <c r="B47" t="s">
        <v>719</v>
      </c>
      <c r="C47" s="259" t="s">
        <v>730</v>
      </c>
      <c r="D47">
        <v>2</v>
      </c>
      <c r="E47" t="s">
        <v>733</v>
      </c>
    </row>
    <row r="48" spans="1:5" ht="12.75">
      <c r="A48">
        <v>45</v>
      </c>
      <c r="B48" t="s">
        <v>719</v>
      </c>
      <c r="C48" s="259" t="s">
        <v>731</v>
      </c>
      <c r="D48">
        <v>1</v>
      </c>
      <c r="E48" t="s">
        <v>732</v>
      </c>
    </row>
    <row r="49" spans="1:5" ht="12.75">
      <c r="A49">
        <v>46</v>
      </c>
      <c r="B49" t="s">
        <v>740</v>
      </c>
      <c r="C49" s="259" t="s">
        <v>301</v>
      </c>
      <c r="D49">
        <v>4</v>
      </c>
      <c r="E49" t="s">
        <v>713</v>
      </c>
    </row>
    <row r="50" spans="1:5" ht="12.75">
      <c r="A50">
        <v>47</v>
      </c>
      <c r="B50" t="s">
        <v>741</v>
      </c>
      <c r="C50" s="259" t="s">
        <v>237</v>
      </c>
      <c r="D50">
        <v>3</v>
      </c>
      <c r="E50" t="s">
        <v>712</v>
      </c>
    </row>
    <row r="51" spans="1:5" ht="12.75">
      <c r="A51">
        <v>48</v>
      </c>
      <c r="B51" t="s">
        <v>743</v>
      </c>
      <c r="C51" s="259" t="s">
        <v>238</v>
      </c>
      <c r="D51">
        <v>12</v>
      </c>
      <c r="E51" t="s">
        <v>742</v>
      </c>
    </row>
    <row r="52" spans="1:5" ht="12.75">
      <c r="A52">
        <v>49</v>
      </c>
      <c r="B52" t="s">
        <v>719</v>
      </c>
      <c r="C52" s="259" t="s">
        <v>711</v>
      </c>
      <c r="D52">
        <v>1</v>
      </c>
      <c r="E52" t="s">
        <v>710</v>
      </c>
    </row>
    <row r="53" spans="1:5" ht="12.75">
      <c r="A53">
        <v>50</v>
      </c>
      <c r="B53" t="s">
        <v>719</v>
      </c>
      <c r="C53" s="259" t="s">
        <v>709</v>
      </c>
      <c r="D53">
        <v>1</v>
      </c>
      <c r="E53" t="s">
        <v>239</v>
      </c>
    </row>
    <row r="54" spans="1:4" ht="12.75">
      <c r="A54">
        <v>51</v>
      </c>
      <c r="B54" t="s">
        <v>744</v>
      </c>
      <c r="C54" s="259" t="s">
        <v>240</v>
      </c>
      <c r="D54">
        <v>2</v>
      </c>
    </row>
    <row r="55" spans="1:4" ht="12.75">
      <c r="A55">
        <v>52</v>
      </c>
      <c r="B55" t="s">
        <v>719</v>
      </c>
      <c r="C55" s="259" t="s">
        <v>715</v>
      </c>
      <c r="D55">
        <v>12</v>
      </c>
    </row>
    <row r="56" spans="1:4" ht="12.75">
      <c r="A56">
        <v>53</v>
      </c>
      <c r="B56" t="s">
        <v>719</v>
      </c>
      <c r="C56" s="259" t="s">
        <v>714</v>
      </c>
      <c r="D56">
        <v>17</v>
      </c>
    </row>
    <row r="57" spans="1:4" ht="12.75">
      <c r="A57">
        <v>54</v>
      </c>
      <c r="B57" t="s">
        <v>720</v>
      </c>
      <c r="C57" s="259" t="s">
        <v>241</v>
      </c>
      <c r="D57">
        <v>2</v>
      </c>
    </row>
    <row r="58" spans="1:5" ht="12.75">
      <c r="A58">
        <v>55</v>
      </c>
      <c r="B58" t="s">
        <v>719</v>
      </c>
      <c r="C58" s="259" t="s">
        <v>765</v>
      </c>
      <c r="D58">
        <v>1</v>
      </c>
      <c r="E58" t="s">
        <v>242</v>
      </c>
    </row>
    <row r="59" spans="1:5" ht="12.75">
      <c r="A59">
        <v>56</v>
      </c>
      <c r="B59" t="s">
        <v>719</v>
      </c>
      <c r="C59" s="259" t="s">
        <v>243</v>
      </c>
      <c r="D59">
        <v>1</v>
      </c>
      <c r="E59" t="s">
        <v>245</v>
      </c>
    </row>
    <row r="60" spans="1:5" ht="12.75">
      <c r="A60">
        <v>57</v>
      </c>
      <c r="B60" t="s">
        <v>719</v>
      </c>
      <c r="C60" s="259" t="s">
        <v>244</v>
      </c>
      <c r="D60">
        <v>1</v>
      </c>
      <c r="E60" t="s">
        <v>245</v>
      </c>
    </row>
    <row r="61" spans="1:5" ht="12.75">
      <c r="A61">
        <v>58</v>
      </c>
      <c r="B61" t="s">
        <v>740</v>
      </c>
      <c r="C61" s="259" t="s">
        <v>246</v>
      </c>
      <c r="D61">
        <v>2</v>
      </c>
      <c r="E61" t="s">
        <v>729</v>
      </c>
    </row>
    <row r="62" spans="1:4" ht="12.75">
      <c r="A62">
        <v>59</v>
      </c>
      <c r="B62" t="s">
        <v>719</v>
      </c>
      <c r="C62" s="259" t="s">
        <v>302</v>
      </c>
      <c r="D62">
        <v>1</v>
      </c>
    </row>
    <row r="63" spans="1:5" ht="12.75">
      <c r="A63">
        <v>60</v>
      </c>
      <c r="B63" t="s">
        <v>720</v>
      </c>
      <c r="C63" s="259" t="s">
        <v>312</v>
      </c>
      <c r="D63">
        <v>3</v>
      </c>
      <c r="E63" t="s">
        <v>703</v>
      </c>
    </row>
    <row r="64" spans="1:5" ht="12.75">
      <c r="A64">
        <v>61</v>
      </c>
      <c r="B64" t="s">
        <v>720</v>
      </c>
      <c r="C64" s="259" t="s">
        <v>313</v>
      </c>
      <c r="E64" t="s">
        <v>700</v>
      </c>
    </row>
    <row r="65" spans="1:5" ht="12.75">
      <c r="A65">
        <v>62</v>
      </c>
      <c r="B65" t="s">
        <v>720</v>
      </c>
      <c r="C65" s="259" t="s">
        <v>704</v>
      </c>
      <c r="D65">
        <v>4</v>
      </c>
      <c r="E65" t="s">
        <v>705</v>
      </c>
    </row>
    <row r="66" spans="1:5" ht="12.75">
      <c r="A66">
        <v>63</v>
      </c>
      <c r="B66" t="s">
        <v>720</v>
      </c>
      <c r="C66" s="259" t="s">
        <v>706</v>
      </c>
      <c r="D66" t="s">
        <v>276</v>
      </c>
      <c r="E66" t="s">
        <v>700</v>
      </c>
    </row>
    <row r="67" spans="1:5" ht="12.75">
      <c r="A67">
        <v>64</v>
      </c>
      <c r="B67" t="s">
        <v>719</v>
      </c>
      <c r="C67" s="259" t="s">
        <v>707</v>
      </c>
      <c r="D67">
        <v>18</v>
      </c>
      <c r="E67" t="s">
        <v>708</v>
      </c>
    </row>
    <row r="68" spans="1:5" ht="12.75">
      <c r="A68">
        <v>65</v>
      </c>
      <c r="B68" t="s">
        <v>719</v>
      </c>
      <c r="C68" s="253" t="s">
        <v>736</v>
      </c>
      <c r="D68">
        <v>4</v>
      </c>
      <c r="E68" t="s">
        <v>739</v>
      </c>
    </row>
    <row r="69" spans="1:5" ht="12.75">
      <c r="A69">
        <v>66</v>
      </c>
      <c r="B69" t="s">
        <v>719</v>
      </c>
      <c r="C69" s="259" t="s">
        <v>737</v>
      </c>
      <c r="D69">
        <v>1</v>
      </c>
      <c r="E69" t="s">
        <v>738</v>
      </c>
    </row>
    <row r="70" spans="1:5" ht="12.75">
      <c r="A70">
        <v>67</v>
      </c>
      <c r="B70" t="s">
        <v>744</v>
      </c>
      <c r="C70" s="247" t="s">
        <v>745</v>
      </c>
      <c r="D70">
        <v>2</v>
      </c>
      <c r="E70" t="s">
        <v>746</v>
      </c>
    </row>
    <row r="71" spans="1:5" ht="12.75">
      <c r="A71">
        <v>68</v>
      </c>
      <c r="B71" t="s">
        <v>720</v>
      </c>
      <c r="C71" s="247" t="s">
        <v>747</v>
      </c>
      <c r="D71">
        <v>1</v>
      </c>
      <c r="E71" t="s">
        <v>751</v>
      </c>
    </row>
    <row r="72" spans="1:5" ht="12.75">
      <c r="A72">
        <v>69</v>
      </c>
      <c r="B72" t="s">
        <v>744</v>
      </c>
      <c r="C72" s="247" t="s">
        <v>753</v>
      </c>
      <c r="D72">
        <v>3</v>
      </c>
      <c r="E72" t="s">
        <v>752</v>
      </c>
    </row>
    <row r="73" spans="1:5" ht="12.75">
      <c r="A73">
        <v>70</v>
      </c>
      <c r="B73" t="s">
        <v>719</v>
      </c>
      <c r="C73" s="247" t="s">
        <v>748</v>
      </c>
      <c r="D73" t="s">
        <v>749</v>
      </c>
      <c r="E73" t="s">
        <v>750</v>
      </c>
    </row>
    <row r="74" spans="1:5" ht="12.75">
      <c r="A74">
        <v>71</v>
      </c>
      <c r="B74" t="s">
        <v>719</v>
      </c>
      <c r="C74" s="247" t="s">
        <v>754</v>
      </c>
      <c r="D74" t="s">
        <v>755</v>
      </c>
      <c r="E74" t="s">
        <v>756</v>
      </c>
    </row>
    <row r="75" spans="1:5" ht="12.75">
      <c r="A75">
        <v>72</v>
      </c>
      <c r="B75" t="s">
        <v>769</v>
      </c>
      <c r="C75" s="247" t="s">
        <v>675</v>
      </c>
      <c r="D75" t="s">
        <v>757</v>
      </c>
      <c r="E75" t="s">
        <v>758</v>
      </c>
    </row>
    <row r="76" spans="1:5" ht="12.75">
      <c r="A76">
        <v>73</v>
      </c>
      <c r="B76" t="s">
        <v>719</v>
      </c>
      <c r="C76" s="247" t="s">
        <v>759</v>
      </c>
      <c r="D76">
        <v>1</v>
      </c>
      <c r="E76" t="s">
        <v>760</v>
      </c>
    </row>
    <row r="77" spans="1:5" ht="12.75">
      <c r="A77">
        <v>74</v>
      </c>
      <c r="B77" t="s">
        <v>719</v>
      </c>
      <c r="C77" s="247" t="s">
        <v>761</v>
      </c>
      <c r="D77">
        <v>1</v>
      </c>
      <c r="E77" t="s">
        <v>760</v>
      </c>
    </row>
    <row r="78" spans="1:5" ht="12.75">
      <c r="A78">
        <v>75</v>
      </c>
      <c r="B78" t="s">
        <v>719</v>
      </c>
      <c r="C78" s="247" t="s">
        <v>762</v>
      </c>
      <c r="D78">
        <v>1</v>
      </c>
      <c r="E78" t="s">
        <v>760</v>
      </c>
    </row>
    <row r="79" spans="1:5" ht="12.75">
      <c r="A79">
        <v>76</v>
      </c>
      <c r="B79" t="s">
        <v>719</v>
      </c>
      <c r="C79" s="247" t="s">
        <v>763</v>
      </c>
      <c r="D79">
        <v>1</v>
      </c>
      <c r="E79" t="s">
        <v>760</v>
      </c>
    </row>
    <row r="80" spans="1:5" ht="12.75">
      <c r="A80">
        <v>77</v>
      </c>
      <c r="B80" t="s">
        <v>720</v>
      </c>
      <c r="C80" s="247" t="s">
        <v>234</v>
      </c>
      <c r="D80">
        <v>1</v>
      </c>
      <c r="E80" t="s">
        <v>175</v>
      </c>
    </row>
    <row r="81" spans="1:5" ht="12.75">
      <c r="A81">
        <v>78</v>
      </c>
      <c r="B81" t="s">
        <v>720</v>
      </c>
      <c r="C81" s="247" t="s">
        <v>686</v>
      </c>
      <c r="D81">
        <v>1</v>
      </c>
      <c r="E81" t="s">
        <v>175</v>
      </c>
    </row>
    <row r="82" spans="1:4" ht="12.75">
      <c r="A82">
        <v>79</v>
      </c>
      <c r="B82" t="s">
        <v>720</v>
      </c>
      <c r="C82" s="247" t="s">
        <v>768</v>
      </c>
      <c r="D82">
        <v>2</v>
      </c>
    </row>
  </sheetData>
  <sheetProtection/>
  <mergeCells count="1">
    <mergeCell ref="A1:E1"/>
  </mergeCells>
  <printOptions/>
  <pageMargins left="0.5902777777777778" right="0.5902777777777778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P235"/>
  <sheetViews>
    <sheetView zoomScalePageLayoutView="0" workbookViewId="0" topLeftCell="A163">
      <selection activeCell="A176" sqref="A176:I208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6.57421875" style="130" customWidth="1"/>
    <col min="4" max="4" width="12.421875" style="0" customWidth="1"/>
    <col min="5" max="5" width="3.00390625" style="0" customWidth="1"/>
    <col min="6" max="6" width="17.00390625" style="0" customWidth="1"/>
    <col min="7" max="7" width="5.7109375" style="135" customWidth="1"/>
    <col min="8" max="8" width="7.421875" style="0" customWidth="1"/>
    <col min="9" max="9" width="8.00390625" style="130" customWidth="1"/>
    <col min="10" max="10" width="8.7109375" style="0" customWidth="1"/>
    <col min="11" max="11" width="8.28125" style="0" customWidth="1"/>
    <col min="12" max="12" width="5.57421875" style="0" customWidth="1"/>
    <col min="13" max="13" width="8.57421875" style="0" bestFit="1" customWidth="1"/>
  </cols>
  <sheetData>
    <row r="5" spans="3:7" ht="12.75">
      <c r="C5" s="130" t="s">
        <v>360</v>
      </c>
      <c r="G5" s="135" t="s">
        <v>361</v>
      </c>
    </row>
    <row r="6" spans="1:10" ht="12.75">
      <c r="A6" s="86" t="s">
        <v>362</v>
      </c>
      <c r="B6" s="86"/>
      <c r="C6" s="131" t="s">
        <v>161</v>
      </c>
      <c r="D6" s="85" t="s">
        <v>162</v>
      </c>
      <c r="E6" s="86"/>
      <c r="F6" s="85"/>
      <c r="G6" s="136" t="s">
        <v>362</v>
      </c>
      <c r="H6" s="98"/>
      <c r="I6" s="131" t="s">
        <v>161</v>
      </c>
      <c r="J6" s="98"/>
    </row>
    <row r="7" spans="1:10" ht="12.75">
      <c r="A7" s="128">
        <v>11</v>
      </c>
      <c r="B7" s="128" t="s">
        <v>163</v>
      </c>
      <c r="C7" s="129">
        <v>0.375</v>
      </c>
      <c r="D7" s="79" t="s">
        <v>272</v>
      </c>
      <c r="E7" s="80" t="s">
        <v>276</v>
      </c>
      <c r="F7" s="80" t="s">
        <v>273</v>
      </c>
      <c r="G7" s="137">
        <v>12</v>
      </c>
      <c r="H7" s="123" t="s">
        <v>163</v>
      </c>
      <c r="I7" s="132">
        <v>0.6041666666666666</v>
      </c>
      <c r="J7" s="124"/>
    </row>
    <row r="8" spans="1:10" ht="12.75">
      <c r="A8" s="128"/>
      <c r="B8" s="128"/>
      <c r="C8" s="129"/>
      <c r="D8" s="77" t="s">
        <v>274</v>
      </c>
      <c r="E8" s="78" t="s">
        <v>276</v>
      </c>
      <c r="F8" s="78" t="s">
        <v>275</v>
      </c>
      <c r="G8" s="137"/>
      <c r="H8" s="123"/>
      <c r="I8" s="132"/>
      <c r="J8" s="124"/>
    </row>
    <row r="9" spans="1:10" ht="12.75">
      <c r="A9" s="128"/>
      <c r="B9" s="128"/>
      <c r="C9" s="129"/>
      <c r="D9" s="77" t="s">
        <v>275</v>
      </c>
      <c r="E9" s="78" t="s">
        <v>276</v>
      </c>
      <c r="F9" s="77" t="s">
        <v>274</v>
      </c>
      <c r="G9" s="137"/>
      <c r="H9" s="123"/>
      <c r="I9" s="132"/>
      <c r="J9" s="124"/>
    </row>
    <row r="10" spans="1:10" ht="12.75">
      <c r="A10" s="128">
        <v>13</v>
      </c>
      <c r="B10" s="128" t="s">
        <v>173</v>
      </c>
      <c r="C10" s="129">
        <v>0.25</v>
      </c>
      <c r="D10" s="77" t="s">
        <v>274</v>
      </c>
      <c r="E10" s="78" t="s">
        <v>276</v>
      </c>
      <c r="F10" s="77" t="s">
        <v>277</v>
      </c>
      <c r="G10" s="137"/>
      <c r="H10" s="123"/>
      <c r="I10" s="132"/>
      <c r="J10" s="123"/>
    </row>
    <row r="11" spans="1:10" ht="12.75">
      <c r="A11" s="128"/>
      <c r="B11" s="128"/>
      <c r="C11" s="129"/>
      <c r="D11" s="77" t="s">
        <v>277</v>
      </c>
      <c r="E11" s="78" t="s">
        <v>276</v>
      </c>
      <c r="F11" s="77" t="s">
        <v>274</v>
      </c>
      <c r="G11" s="137">
        <v>13</v>
      </c>
      <c r="H11" s="123" t="s">
        <v>173</v>
      </c>
      <c r="I11" s="132">
        <v>0.75</v>
      </c>
      <c r="J11" s="123"/>
    </row>
    <row r="12" spans="1:10" ht="12.75">
      <c r="A12" s="128"/>
      <c r="B12" s="128"/>
      <c r="C12" s="129"/>
      <c r="D12" s="112" t="s">
        <v>278</v>
      </c>
      <c r="E12" s="113"/>
      <c r="F12" s="112" t="s">
        <v>279</v>
      </c>
      <c r="G12" s="138"/>
      <c r="H12" s="125"/>
      <c r="I12" s="133"/>
      <c r="J12" s="125"/>
    </row>
    <row r="13" spans="1:10" ht="12.75">
      <c r="A13" s="128">
        <v>14</v>
      </c>
      <c r="B13" s="128" t="s">
        <v>166</v>
      </c>
      <c r="C13" s="129">
        <v>0.5</v>
      </c>
      <c r="D13" s="77" t="s">
        <v>274</v>
      </c>
      <c r="E13" s="78" t="s">
        <v>276</v>
      </c>
      <c r="F13" s="77" t="s">
        <v>168</v>
      </c>
      <c r="G13" s="137">
        <v>15</v>
      </c>
      <c r="H13" s="123" t="s">
        <v>167</v>
      </c>
      <c r="I13" s="132">
        <v>0.4583333333333333</v>
      </c>
      <c r="J13" s="124"/>
    </row>
    <row r="14" spans="1:10" ht="12.75">
      <c r="A14" s="128">
        <v>15</v>
      </c>
      <c r="B14" s="128" t="s">
        <v>167</v>
      </c>
      <c r="C14" s="129">
        <v>0.6666666666666666</v>
      </c>
      <c r="D14" s="83" t="s">
        <v>4</v>
      </c>
      <c r="E14" s="84" t="s">
        <v>276</v>
      </c>
      <c r="F14" s="83" t="s">
        <v>280</v>
      </c>
      <c r="G14" s="137">
        <v>15</v>
      </c>
      <c r="H14" s="123" t="s">
        <v>167</v>
      </c>
      <c r="I14" s="132">
        <v>0.875</v>
      </c>
      <c r="J14" s="123"/>
    </row>
    <row r="15" spans="1:10" ht="12.75">
      <c r="A15" s="128">
        <v>16</v>
      </c>
      <c r="B15" s="128" t="s">
        <v>169</v>
      </c>
      <c r="C15" s="129">
        <v>0.1875</v>
      </c>
      <c r="D15" s="83" t="s">
        <v>4</v>
      </c>
      <c r="E15" s="84" t="s">
        <v>276</v>
      </c>
      <c r="F15" s="83" t="s">
        <v>281</v>
      </c>
      <c r="G15" s="137">
        <v>16</v>
      </c>
      <c r="H15" s="123" t="s">
        <v>169</v>
      </c>
      <c r="I15" s="132">
        <v>0.5416666666666666</v>
      </c>
      <c r="J15" s="123"/>
    </row>
    <row r="16" spans="1:10" ht="12.75">
      <c r="A16" s="128"/>
      <c r="B16" s="128"/>
      <c r="C16" s="129"/>
      <c r="D16" s="83" t="s">
        <v>4</v>
      </c>
      <c r="E16" s="84" t="s">
        <v>276</v>
      </c>
      <c r="F16" s="83" t="s">
        <v>282</v>
      </c>
      <c r="G16" s="137"/>
      <c r="H16" s="123"/>
      <c r="I16" s="132"/>
      <c r="J16" s="123"/>
    </row>
    <row r="17" spans="1:10" ht="12.75">
      <c r="A17" s="128"/>
      <c r="B17" s="128"/>
      <c r="C17" s="129"/>
      <c r="D17" s="83"/>
      <c r="E17" s="84"/>
      <c r="F17" s="83"/>
      <c r="G17" s="137"/>
      <c r="H17" s="123"/>
      <c r="I17" s="132"/>
      <c r="J17" s="123"/>
    </row>
    <row r="18" spans="1:10" ht="12.75">
      <c r="A18" s="128">
        <v>18</v>
      </c>
      <c r="B18" s="128" t="s">
        <v>170</v>
      </c>
      <c r="C18" s="129">
        <v>0.3333333333333333</v>
      </c>
      <c r="D18" s="83" t="s">
        <v>4</v>
      </c>
      <c r="E18" s="84" t="s">
        <v>276</v>
      </c>
      <c r="F18" s="83" t="s">
        <v>284</v>
      </c>
      <c r="G18" s="137">
        <v>20</v>
      </c>
      <c r="H18" s="123" t="s">
        <v>173</v>
      </c>
      <c r="I18" s="132">
        <v>0.625</v>
      </c>
      <c r="J18" s="123"/>
    </row>
    <row r="19" spans="1:10" ht="12.75">
      <c r="A19" s="128">
        <v>20</v>
      </c>
      <c r="B19" s="128" t="s">
        <v>173</v>
      </c>
      <c r="C19" s="129" t="s">
        <v>71</v>
      </c>
      <c r="D19" s="77" t="s">
        <v>284</v>
      </c>
      <c r="E19" s="78" t="s">
        <v>276</v>
      </c>
      <c r="F19" s="77" t="s">
        <v>175</v>
      </c>
      <c r="G19" s="137">
        <v>21</v>
      </c>
      <c r="H19" s="123" t="s">
        <v>166</v>
      </c>
      <c r="I19" s="132" t="s">
        <v>71</v>
      </c>
      <c r="J19" s="124" t="s">
        <v>364</v>
      </c>
    </row>
    <row r="20" spans="1:10" ht="12.75">
      <c r="A20" s="128">
        <v>21</v>
      </c>
      <c r="B20" s="128" t="s">
        <v>166</v>
      </c>
      <c r="C20" s="129">
        <v>0.5</v>
      </c>
      <c r="D20" s="77" t="s">
        <v>175</v>
      </c>
      <c r="E20" s="78" t="s">
        <v>276</v>
      </c>
      <c r="F20" s="77" t="s">
        <v>286</v>
      </c>
      <c r="G20" s="137">
        <v>21</v>
      </c>
      <c r="H20" s="123" t="s">
        <v>166</v>
      </c>
      <c r="I20" s="132">
        <v>0.625</v>
      </c>
      <c r="J20" s="124"/>
    </row>
    <row r="21" spans="1:10" ht="12.75">
      <c r="A21" s="128">
        <v>21</v>
      </c>
      <c r="B21" s="128" t="s">
        <v>166</v>
      </c>
      <c r="C21" s="129">
        <v>0.75</v>
      </c>
      <c r="D21" s="77" t="s">
        <v>179</v>
      </c>
      <c r="E21" s="78" t="s">
        <v>276</v>
      </c>
      <c r="F21" s="77" t="s">
        <v>175</v>
      </c>
      <c r="G21" s="137">
        <v>21</v>
      </c>
      <c r="H21" s="123" t="s">
        <v>166</v>
      </c>
      <c r="I21" s="132">
        <v>0.875</v>
      </c>
      <c r="J21" s="124"/>
    </row>
    <row r="22" spans="1:10" ht="12.75">
      <c r="A22" s="128">
        <v>22</v>
      </c>
      <c r="B22" s="128" t="s">
        <v>167</v>
      </c>
      <c r="C22" s="129">
        <v>0.3333333333333333</v>
      </c>
      <c r="D22" s="81" t="s">
        <v>175</v>
      </c>
      <c r="E22" s="82" t="s">
        <v>276</v>
      </c>
      <c r="F22" s="81" t="s">
        <v>337</v>
      </c>
      <c r="G22" s="137"/>
      <c r="H22" s="123"/>
      <c r="I22" s="132">
        <v>0.5416666666666666</v>
      </c>
      <c r="J22" s="124"/>
    </row>
    <row r="23" spans="1:10" ht="12.75">
      <c r="A23" s="128">
        <v>22</v>
      </c>
      <c r="B23" s="128" t="s">
        <v>167</v>
      </c>
      <c r="C23" s="129">
        <v>0.5416666666666666</v>
      </c>
      <c r="D23" s="77" t="s">
        <v>175</v>
      </c>
      <c r="E23" s="78" t="s">
        <v>276</v>
      </c>
      <c r="F23" s="77" t="s">
        <v>176</v>
      </c>
      <c r="G23" s="137"/>
      <c r="H23" s="123"/>
      <c r="I23" s="132">
        <v>0.6666666666666666</v>
      </c>
      <c r="J23" s="124"/>
    </row>
    <row r="24" spans="1:10" ht="12.75">
      <c r="A24" s="128">
        <v>23</v>
      </c>
      <c r="B24" s="128" t="s">
        <v>169</v>
      </c>
      <c r="C24" s="129"/>
      <c r="D24" s="77" t="s">
        <v>176</v>
      </c>
      <c r="E24" s="78" t="s">
        <v>276</v>
      </c>
      <c r="F24" s="77" t="s">
        <v>290</v>
      </c>
      <c r="G24" s="137"/>
      <c r="H24" s="123"/>
      <c r="I24" s="132"/>
      <c r="J24" s="123"/>
    </row>
    <row r="25" spans="1:10" ht="12.75">
      <c r="A25" s="128"/>
      <c r="B25" s="128"/>
      <c r="C25" s="129"/>
      <c r="D25" s="116"/>
      <c r="E25" s="117"/>
      <c r="F25" s="83" t="s">
        <v>291</v>
      </c>
      <c r="G25" s="139"/>
      <c r="H25" s="126"/>
      <c r="I25" s="134"/>
      <c r="J25" s="125"/>
    </row>
    <row r="26" spans="1:10" ht="12.75">
      <c r="A26" s="128"/>
      <c r="B26" s="128"/>
      <c r="C26" s="129"/>
      <c r="D26" s="77" t="s">
        <v>289</v>
      </c>
      <c r="E26" s="78" t="s">
        <v>276</v>
      </c>
      <c r="F26" s="77" t="s">
        <v>176</v>
      </c>
      <c r="G26" s="137"/>
      <c r="H26" s="123"/>
      <c r="I26" s="132"/>
      <c r="J26" s="123"/>
    </row>
    <row r="27" spans="1:10" ht="12.75">
      <c r="A27" s="128">
        <v>23</v>
      </c>
      <c r="B27" s="128" t="s">
        <v>169</v>
      </c>
      <c r="C27" s="129">
        <v>0.7083333333333334</v>
      </c>
      <c r="D27" s="77" t="s">
        <v>176</v>
      </c>
      <c r="E27" s="78" t="s">
        <v>276</v>
      </c>
      <c r="F27" s="77" t="s">
        <v>177</v>
      </c>
      <c r="G27" s="137"/>
      <c r="H27" s="123"/>
      <c r="I27" s="132">
        <v>0.8125</v>
      </c>
      <c r="J27" s="124"/>
    </row>
    <row r="28" spans="1:10" ht="12.75">
      <c r="A28" s="128">
        <v>24</v>
      </c>
      <c r="B28" s="128" t="s">
        <v>363</v>
      </c>
      <c r="C28" s="129"/>
      <c r="D28" s="83" t="s">
        <v>177</v>
      </c>
      <c r="E28" s="84" t="s">
        <v>276</v>
      </c>
      <c r="F28" s="83" t="s">
        <v>366</v>
      </c>
      <c r="G28" s="140"/>
      <c r="H28" s="128"/>
      <c r="I28" s="129"/>
      <c r="J28" s="128"/>
    </row>
    <row r="29" spans="1:10" ht="12.75">
      <c r="A29" s="128">
        <v>24</v>
      </c>
      <c r="B29" s="128" t="s">
        <v>363</v>
      </c>
      <c r="C29" s="129">
        <v>0.5416666666666666</v>
      </c>
      <c r="D29" s="121" t="s">
        <v>177</v>
      </c>
      <c r="E29" s="122" t="s">
        <v>276</v>
      </c>
      <c r="F29" s="121" t="s">
        <v>338</v>
      </c>
      <c r="G29" s="137"/>
      <c r="H29" s="123"/>
      <c r="I29" s="132">
        <v>0.75</v>
      </c>
      <c r="J29" s="124"/>
    </row>
    <row r="30" spans="1:10" ht="12.75">
      <c r="A30" s="128">
        <v>25</v>
      </c>
      <c r="B30" s="128" t="s">
        <v>170</v>
      </c>
      <c r="C30" s="129"/>
      <c r="D30" s="121" t="s">
        <v>338</v>
      </c>
      <c r="E30" s="122" t="s">
        <v>276</v>
      </c>
      <c r="F30" s="121" t="s">
        <v>340</v>
      </c>
      <c r="G30" s="137"/>
      <c r="H30" s="123"/>
      <c r="I30" s="132"/>
      <c r="J30" s="124"/>
    </row>
    <row r="31" spans="1:10" ht="12.75">
      <c r="A31" s="128">
        <v>25</v>
      </c>
      <c r="B31" s="128" t="s">
        <v>170</v>
      </c>
      <c r="C31" s="129"/>
      <c r="D31" s="77" t="s">
        <v>340</v>
      </c>
      <c r="E31" s="78" t="s">
        <v>276</v>
      </c>
      <c r="F31" s="77" t="s">
        <v>339</v>
      </c>
      <c r="G31" s="137"/>
      <c r="H31" s="123"/>
      <c r="I31" s="132"/>
      <c r="J31" s="124"/>
    </row>
    <row r="32" spans="1:10" ht="12.75">
      <c r="A32" s="128">
        <v>25</v>
      </c>
      <c r="B32" s="128" t="s">
        <v>170</v>
      </c>
      <c r="C32" s="129"/>
      <c r="D32" s="77" t="s">
        <v>339</v>
      </c>
      <c r="E32" s="78" t="s">
        <v>276</v>
      </c>
      <c r="F32" s="77" t="s">
        <v>340</v>
      </c>
      <c r="G32" s="137"/>
      <c r="H32" s="123"/>
      <c r="I32" s="132"/>
      <c r="J32" s="124"/>
    </row>
    <row r="33" spans="1:10" ht="12.75">
      <c r="A33" s="128">
        <v>25</v>
      </c>
      <c r="B33" s="128" t="s">
        <v>170</v>
      </c>
      <c r="C33" s="129"/>
      <c r="D33" s="77" t="s">
        <v>340</v>
      </c>
      <c r="E33" s="78" t="s">
        <v>276</v>
      </c>
      <c r="F33" s="77" t="s">
        <v>338</v>
      </c>
      <c r="G33" s="137"/>
      <c r="H33" s="123"/>
      <c r="I33" s="132"/>
      <c r="J33" s="124"/>
    </row>
    <row r="34" spans="1:10" ht="12.75">
      <c r="A34" s="128">
        <v>25</v>
      </c>
      <c r="B34" s="128" t="s">
        <v>170</v>
      </c>
      <c r="C34" s="129"/>
      <c r="D34" s="77" t="s">
        <v>338</v>
      </c>
      <c r="E34" s="78" t="s">
        <v>276</v>
      </c>
      <c r="F34" s="77" t="s">
        <v>175</v>
      </c>
      <c r="G34" s="137"/>
      <c r="H34" s="123"/>
      <c r="I34" s="132"/>
      <c r="J34" s="124"/>
    </row>
    <row r="35" spans="1:10" ht="12.75">
      <c r="A35" s="128">
        <v>26</v>
      </c>
      <c r="B35" s="128" t="s">
        <v>163</v>
      </c>
      <c r="C35" s="129">
        <v>0.3958333333333333</v>
      </c>
      <c r="D35" s="77" t="s">
        <v>175</v>
      </c>
      <c r="E35" s="78" t="s">
        <v>276</v>
      </c>
      <c r="F35" s="77" t="s">
        <v>341</v>
      </c>
      <c r="G35" s="137">
        <v>26</v>
      </c>
      <c r="H35" s="123" t="s">
        <v>163</v>
      </c>
      <c r="I35" s="132">
        <v>0.020833333333333332</v>
      </c>
      <c r="J35" s="124"/>
    </row>
    <row r="36" spans="1:10" ht="12.75">
      <c r="A36" s="128">
        <v>28</v>
      </c>
      <c r="B36" s="128" t="s">
        <v>166</v>
      </c>
      <c r="C36" s="129">
        <v>0.16666666666666666</v>
      </c>
      <c r="D36" s="77" t="s">
        <v>343</v>
      </c>
      <c r="E36" s="78" t="s">
        <v>276</v>
      </c>
      <c r="F36" s="77" t="s">
        <v>344</v>
      </c>
      <c r="G36" s="137">
        <v>28</v>
      </c>
      <c r="H36" s="123" t="s">
        <v>166</v>
      </c>
      <c r="I36" s="132">
        <v>0.22916666666666666</v>
      </c>
      <c r="J36" s="123"/>
    </row>
    <row r="37" spans="1:10" ht="12.75">
      <c r="A37" s="128">
        <v>28</v>
      </c>
      <c r="B37" s="128" t="s">
        <v>166</v>
      </c>
      <c r="C37" s="129">
        <v>0.375</v>
      </c>
      <c r="D37" s="77" t="s">
        <v>347</v>
      </c>
      <c r="E37" s="78" t="s">
        <v>276</v>
      </c>
      <c r="F37" s="77" t="s">
        <v>288</v>
      </c>
      <c r="G37" s="137">
        <v>28</v>
      </c>
      <c r="H37" s="123" t="s">
        <v>166</v>
      </c>
      <c r="I37" s="132">
        <v>0.5625</v>
      </c>
      <c r="J37" s="123"/>
    </row>
    <row r="38" spans="1:10" ht="12.75">
      <c r="A38" s="128">
        <v>28</v>
      </c>
      <c r="B38" s="128" t="s">
        <v>166</v>
      </c>
      <c r="C38" s="129"/>
      <c r="D38" s="83" t="s">
        <v>288</v>
      </c>
      <c r="E38" s="84" t="s">
        <v>276</v>
      </c>
      <c r="F38" s="83" t="s">
        <v>345</v>
      </c>
      <c r="G38" s="137"/>
      <c r="H38" s="123"/>
      <c r="I38" s="132"/>
      <c r="J38" s="123"/>
    </row>
    <row r="39" spans="1:10" ht="12.75">
      <c r="A39" s="128">
        <v>29</v>
      </c>
      <c r="B39" s="128" t="s">
        <v>167</v>
      </c>
      <c r="C39" s="129" t="s">
        <v>365</v>
      </c>
      <c r="D39" s="83" t="s">
        <v>288</v>
      </c>
      <c r="E39" s="84" t="s">
        <v>276</v>
      </c>
      <c r="F39" s="83" t="s">
        <v>346</v>
      </c>
      <c r="G39" s="137"/>
      <c r="H39" s="127"/>
      <c r="I39" s="132"/>
      <c r="J39" s="123"/>
    </row>
    <row r="40" spans="1:10" ht="12.75">
      <c r="A40" s="128">
        <v>29</v>
      </c>
      <c r="B40" s="128" t="s">
        <v>167</v>
      </c>
      <c r="C40" s="129"/>
      <c r="D40" s="83" t="s">
        <v>288</v>
      </c>
      <c r="E40" s="84" t="s">
        <v>276</v>
      </c>
      <c r="F40" s="83" t="s">
        <v>355</v>
      </c>
      <c r="G40" s="137"/>
      <c r="H40" s="127"/>
      <c r="I40" s="132"/>
      <c r="J40" s="123"/>
    </row>
    <row r="41" spans="1:10" ht="12.75">
      <c r="A41" s="128">
        <v>30</v>
      </c>
      <c r="B41" s="128" t="s">
        <v>169</v>
      </c>
      <c r="C41" s="129">
        <v>0.25</v>
      </c>
      <c r="D41" s="77" t="s">
        <v>288</v>
      </c>
      <c r="E41" s="78" t="s">
        <v>276</v>
      </c>
      <c r="F41" s="77" t="s">
        <v>255</v>
      </c>
      <c r="G41" s="137">
        <v>30</v>
      </c>
      <c r="H41" s="123" t="s">
        <v>169</v>
      </c>
      <c r="I41" s="132">
        <v>0.5</v>
      </c>
      <c r="J41" s="123"/>
    </row>
    <row r="42" spans="1:10" ht="12.75">
      <c r="A42" s="128">
        <v>30</v>
      </c>
      <c r="B42" s="128" t="s">
        <v>169</v>
      </c>
      <c r="C42" s="129">
        <v>0.5972222222222222</v>
      </c>
      <c r="D42" s="77" t="s">
        <v>255</v>
      </c>
      <c r="E42" s="78" t="s">
        <v>276</v>
      </c>
      <c r="F42" s="77" t="s">
        <v>256</v>
      </c>
      <c r="G42" s="137">
        <v>30</v>
      </c>
      <c r="H42" s="123" t="s">
        <v>169</v>
      </c>
      <c r="I42" s="132">
        <v>0.8256944444444444</v>
      </c>
      <c r="J42" s="123"/>
    </row>
    <row r="44" ht="12.75">
      <c r="D44" t="s">
        <v>367</v>
      </c>
    </row>
    <row r="50" spans="3:7" ht="12.75">
      <c r="C50" s="130" t="s">
        <v>360</v>
      </c>
      <c r="G50" s="135" t="s">
        <v>361</v>
      </c>
    </row>
    <row r="51" spans="1:14" ht="12.75">
      <c r="A51" s="86" t="s">
        <v>362</v>
      </c>
      <c r="B51" s="86"/>
      <c r="C51" s="131" t="s">
        <v>161</v>
      </c>
      <c r="D51" s="85" t="s">
        <v>162</v>
      </c>
      <c r="E51" s="86"/>
      <c r="F51" s="85"/>
      <c r="G51" s="136" t="s">
        <v>362</v>
      </c>
      <c r="H51" s="98"/>
      <c r="I51" s="131" t="s">
        <v>161</v>
      </c>
      <c r="J51" s="98"/>
      <c r="K51" t="s">
        <v>262</v>
      </c>
      <c r="N51" t="s">
        <v>13</v>
      </c>
    </row>
    <row r="52" spans="1:14" ht="12.75">
      <c r="A52" s="128">
        <v>12</v>
      </c>
      <c r="B52" s="128" t="s">
        <v>163</v>
      </c>
      <c r="C52" s="129">
        <v>0.375</v>
      </c>
      <c r="D52" s="79" t="s">
        <v>272</v>
      </c>
      <c r="E52" s="80" t="s">
        <v>276</v>
      </c>
      <c r="F52" s="80" t="s">
        <v>273</v>
      </c>
      <c r="G52" s="137">
        <v>12</v>
      </c>
      <c r="H52" s="123" t="s">
        <v>163</v>
      </c>
      <c r="I52" s="132">
        <v>0.6041666666666666</v>
      </c>
      <c r="J52" s="124"/>
      <c r="K52" s="109">
        <v>635</v>
      </c>
      <c r="L52" s="110"/>
      <c r="M52" s="110" t="s">
        <v>348</v>
      </c>
      <c r="N52" s="111">
        <v>0.2708333333333333</v>
      </c>
    </row>
    <row r="53" spans="1:14" ht="12.75">
      <c r="A53" s="128"/>
      <c r="B53" s="128"/>
      <c r="C53" s="129"/>
      <c r="D53" s="77" t="s">
        <v>274</v>
      </c>
      <c r="E53" s="78" t="s">
        <v>276</v>
      </c>
      <c r="F53" s="78" t="s">
        <v>275</v>
      </c>
      <c r="G53" s="137"/>
      <c r="H53" s="123"/>
      <c r="I53" s="132"/>
      <c r="J53" s="124"/>
      <c r="K53" s="109">
        <f aca="true" t="shared" si="0" ref="K53:K62">L53/266</f>
        <v>24.06015037593985</v>
      </c>
      <c r="L53" s="110">
        <v>6400</v>
      </c>
      <c r="M53" s="110" t="s">
        <v>188</v>
      </c>
      <c r="N53" s="111">
        <v>0.07291666666666667</v>
      </c>
    </row>
    <row r="54" spans="1:14" ht="12.75">
      <c r="A54" s="128"/>
      <c r="B54" s="128"/>
      <c r="C54" s="129"/>
      <c r="D54" s="77" t="s">
        <v>275</v>
      </c>
      <c r="E54" s="78" t="s">
        <v>276</v>
      </c>
      <c r="F54" s="77" t="s">
        <v>274</v>
      </c>
      <c r="G54" s="137"/>
      <c r="H54" s="123"/>
      <c r="I54" s="132"/>
      <c r="J54" s="124"/>
      <c r="K54" s="109">
        <f t="shared" si="0"/>
        <v>24.06015037593985</v>
      </c>
      <c r="L54" s="110">
        <v>6400</v>
      </c>
      <c r="M54" s="110" t="s">
        <v>188</v>
      </c>
      <c r="N54" s="111">
        <v>0.07291666666666667</v>
      </c>
    </row>
    <row r="55" spans="1:14" ht="12.75">
      <c r="A55" s="128">
        <v>13</v>
      </c>
      <c r="B55" s="128" t="s">
        <v>173</v>
      </c>
      <c r="C55" s="129">
        <v>0.25</v>
      </c>
      <c r="D55" s="77" t="s">
        <v>274</v>
      </c>
      <c r="E55" s="78" t="s">
        <v>276</v>
      </c>
      <c r="F55" s="77" t="s">
        <v>277</v>
      </c>
      <c r="G55" s="137"/>
      <c r="H55" s="123"/>
      <c r="I55" s="132"/>
      <c r="J55" s="123"/>
      <c r="K55" s="109">
        <f t="shared" si="0"/>
        <v>33.83458646616541</v>
      </c>
      <c r="L55" s="110">
        <v>9000</v>
      </c>
      <c r="M55" s="110" t="s">
        <v>188</v>
      </c>
      <c r="N55" s="110"/>
    </row>
    <row r="56" spans="1:14" ht="12.75">
      <c r="A56" s="128"/>
      <c r="B56" s="128"/>
      <c r="C56" s="129"/>
      <c r="D56" s="77" t="s">
        <v>277</v>
      </c>
      <c r="E56" s="78" t="s">
        <v>276</v>
      </c>
      <c r="F56" s="77" t="s">
        <v>274</v>
      </c>
      <c r="G56" s="137">
        <v>13</v>
      </c>
      <c r="H56" s="123" t="s">
        <v>173</v>
      </c>
      <c r="I56" s="132">
        <v>0.75</v>
      </c>
      <c r="J56" s="123"/>
      <c r="K56" s="109">
        <f t="shared" si="0"/>
        <v>33.83458646616541</v>
      </c>
      <c r="L56" s="110">
        <v>9000</v>
      </c>
      <c r="M56" s="110" t="s">
        <v>188</v>
      </c>
      <c r="N56" s="110"/>
    </row>
    <row r="57" spans="1:14" ht="12.75">
      <c r="A57" s="128"/>
      <c r="B57" s="128"/>
      <c r="C57" s="129"/>
      <c r="D57" s="112" t="s">
        <v>278</v>
      </c>
      <c r="E57" s="113"/>
      <c r="F57" s="112" t="s">
        <v>279</v>
      </c>
      <c r="G57" s="138"/>
      <c r="H57" s="125"/>
      <c r="I57" s="133"/>
      <c r="J57" s="125"/>
      <c r="K57" s="114">
        <f t="shared" si="0"/>
        <v>26.31578947368421</v>
      </c>
      <c r="L57" s="115">
        <v>7000</v>
      </c>
      <c r="M57" s="115" t="s">
        <v>188</v>
      </c>
      <c r="N57" s="115"/>
    </row>
    <row r="58" spans="1:14" ht="12.75">
      <c r="A58" s="128">
        <v>14</v>
      </c>
      <c r="B58" s="128" t="s">
        <v>166</v>
      </c>
      <c r="C58" s="129">
        <v>0.5</v>
      </c>
      <c r="D58" s="77" t="s">
        <v>274</v>
      </c>
      <c r="E58" s="78" t="s">
        <v>276</v>
      </c>
      <c r="F58" s="77" t="s">
        <v>168</v>
      </c>
      <c r="G58" s="137">
        <v>15</v>
      </c>
      <c r="H58" s="123" t="s">
        <v>167</v>
      </c>
      <c r="I58" s="132">
        <v>0.4583333333333333</v>
      </c>
      <c r="J58" s="124"/>
      <c r="K58" s="109">
        <f t="shared" si="0"/>
        <v>125.93984962406014</v>
      </c>
      <c r="L58" s="110">
        <v>33500</v>
      </c>
      <c r="M58" s="110" t="s">
        <v>188</v>
      </c>
      <c r="N58" s="111">
        <v>0.9583333333333334</v>
      </c>
    </row>
    <row r="59" spans="1:14" ht="12.75">
      <c r="A59" s="128">
        <v>15</v>
      </c>
      <c r="B59" s="128" t="s">
        <v>167</v>
      </c>
      <c r="C59" s="129">
        <v>0.6666666666666666</v>
      </c>
      <c r="D59" s="83" t="s">
        <v>4</v>
      </c>
      <c r="E59" s="84" t="s">
        <v>276</v>
      </c>
      <c r="F59" s="83" t="s">
        <v>280</v>
      </c>
      <c r="G59" s="137">
        <v>15</v>
      </c>
      <c r="H59" s="123" t="s">
        <v>167</v>
      </c>
      <c r="I59" s="132">
        <v>0.875</v>
      </c>
      <c r="J59" s="123"/>
      <c r="K59" s="109">
        <f t="shared" si="0"/>
        <v>30.075187969924812</v>
      </c>
      <c r="L59" s="110">
        <v>8000</v>
      </c>
      <c r="M59" s="110" t="s">
        <v>188</v>
      </c>
      <c r="N59" s="110" t="s">
        <v>349</v>
      </c>
    </row>
    <row r="60" spans="1:14" ht="12.75">
      <c r="A60" s="128">
        <v>16</v>
      </c>
      <c r="B60" s="128" t="s">
        <v>169</v>
      </c>
      <c r="C60" s="129">
        <v>0.1875</v>
      </c>
      <c r="D60" s="83" t="s">
        <v>4</v>
      </c>
      <c r="E60" s="84" t="s">
        <v>276</v>
      </c>
      <c r="F60" s="83" t="s">
        <v>281</v>
      </c>
      <c r="G60" s="137">
        <v>16</v>
      </c>
      <c r="H60" s="123" t="s">
        <v>169</v>
      </c>
      <c r="I60" s="132">
        <v>0.5416666666666666</v>
      </c>
      <c r="J60" s="123"/>
      <c r="K60" s="109">
        <f t="shared" si="0"/>
        <v>127.44360902255639</v>
      </c>
      <c r="L60" s="110">
        <v>33900</v>
      </c>
      <c r="M60" s="110" t="s">
        <v>188</v>
      </c>
      <c r="N60" s="110" t="s">
        <v>350</v>
      </c>
    </row>
    <row r="61" spans="1:14" ht="12.75">
      <c r="A61" s="128"/>
      <c r="B61" s="128"/>
      <c r="C61" s="129"/>
      <c r="D61" s="83" t="s">
        <v>4</v>
      </c>
      <c r="E61" s="84" t="s">
        <v>276</v>
      </c>
      <c r="F61" s="83" t="s">
        <v>282</v>
      </c>
      <c r="G61" s="137"/>
      <c r="H61" s="123"/>
      <c r="I61" s="132"/>
      <c r="J61" s="123"/>
      <c r="K61" s="109">
        <f t="shared" si="0"/>
        <v>0</v>
      </c>
      <c r="L61" s="110">
        <v>0</v>
      </c>
      <c r="M61" s="110" t="s">
        <v>287</v>
      </c>
      <c r="N61" s="110"/>
    </row>
    <row r="62" spans="1:14" ht="12.75">
      <c r="A62" s="128">
        <v>17</v>
      </c>
      <c r="B62" s="128" t="s">
        <v>363</v>
      </c>
      <c r="C62" s="129">
        <v>0.3333333333333333</v>
      </c>
      <c r="D62" s="83" t="s">
        <v>4</v>
      </c>
      <c r="E62" s="84" t="s">
        <v>276</v>
      </c>
      <c r="F62" s="83" t="s">
        <v>283</v>
      </c>
      <c r="G62" s="137">
        <v>17</v>
      </c>
      <c r="H62" s="123" t="s">
        <v>363</v>
      </c>
      <c r="I62" s="132">
        <v>0.6666666666666666</v>
      </c>
      <c r="J62" s="123"/>
      <c r="K62" s="109">
        <f t="shared" si="0"/>
        <v>112.78195488721805</v>
      </c>
      <c r="L62" s="110">
        <v>30000</v>
      </c>
      <c r="M62" s="110" t="s">
        <v>188</v>
      </c>
      <c r="N62" s="110" t="s">
        <v>351</v>
      </c>
    </row>
    <row r="63" spans="1:14" ht="12.75">
      <c r="A63" s="128">
        <v>18</v>
      </c>
      <c r="B63" s="128" t="s">
        <v>170</v>
      </c>
      <c r="C63" s="129">
        <v>0.3333333333333333</v>
      </c>
      <c r="D63" s="83" t="s">
        <v>4</v>
      </c>
      <c r="E63" s="84" t="s">
        <v>276</v>
      </c>
      <c r="F63" s="83" t="s">
        <v>284</v>
      </c>
      <c r="G63" s="137">
        <v>20</v>
      </c>
      <c r="H63" s="123" t="s">
        <v>173</v>
      </c>
      <c r="I63" s="132">
        <v>0.625</v>
      </c>
      <c r="J63" s="123"/>
      <c r="K63" s="109">
        <f>L63*2</f>
        <v>270</v>
      </c>
      <c r="L63" s="110">
        <v>135</v>
      </c>
      <c r="M63" s="110" t="s">
        <v>172</v>
      </c>
      <c r="N63" s="110" t="s">
        <v>352</v>
      </c>
    </row>
    <row r="64" spans="1:15" ht="12.75">
      <c r="A64" s="128">
        <v>20</v>
      </c>
      <c r="B64" s="128" t="s">
        <v>173</v>
      </c>
      <c r="C64" s="129">
        <v>0.8333333333333334</v>
      </c>
      <c r="D64" s="77" t="s">
        <v>284</v>
      </c>
      <c r="E64" s="78" t="s">
        <v>276</v>
      </c>
      <c r="F64" s="77" t="s">
        <v>175</v>
      </c>
      <c r="G64" s="137">
        <v>21</v>
      </c>
      <c r="H64" s="123" t="s">
        <v>166</v>
      </c>
      <c r="I64" s="132">
        <v>0.375</v>
      </c>
      <c r="J64" s="124"/>
      <c r="K64" s="109">
        <f>L64*2</f>
        <v>34</v>
      </c>
      <c r="L64" s="110">
        <v>17</v>
      </c>
      <c r="M64" s="110" t="s">
        <v>172</v>
      </c>
      <c r="N64" s="111">
        <v>0.5833333333333334</v>
      </c>
      <c r="O64" t="s">
        <v>373</v>
      </c>
    </row>
    <row r="65" spans="1:14" ht="12.75">
      <c r="A65" s="128">
        <v>21</v>
      </c>
      <c r="B65" s="128" t="s">
        <v>166</v>
      </c>
      <c r="C65" s="129">
        <v>0.5</v>
      </c>
      <c r="D65" s="77" t="s">
        <v>175</v>
      </c>
      <c r="E65" s="78" t="s">
        <v>276</v>
      </c>
      <c r="F65" s="77" t="s">
        <v>177</v>
      </c>
      <c r="G65" s="137">
        <v>21</v>
      </c>
      <c r="H65" s="123" t="s">
        <v>166</v>
      </c>
      <c r="I65" s="132">
        <v>0.625</v>
      </c>
      <c r="J65" s="124"/>
      <c r="K65">
        <v>0</v>
      </c>
      <c r="L65" s="141">
        <v>0</v>
      </c>
      <c r="M65">
        <v>0</v>
      </c>
      <c r="N65">
        <v>0</v>
      </c>
    </row>
    <row r="66" spans="1:14" ht="12.75">
      <c r="A66" s="128">
        <v>21</v>
      </c>
      <c r="B66" s="128" t="s">
        <v>166</v>
      </c>
      <c r="C66" s="129">
        <v>0.6666666666666666</v>
      </c>
      <c r="D66" s="121" t="s">
        <v>177</v>
      </c>
      <c r="E66" s="122" t="s">
        <v>276</v>
      </c>
      <c r="F66" s="121" t="s">
        <v>338</v>
      </c>
      <c r="G66" s="137">
        <v>21</v>
      </c>
      <c r="H66" s="123" t="s">
        <v>166</v>
      </c>
      <c r="I66" s="132">
        <v>0.875</v>
      </c>
      <c r="J66" s="124"/>
      <c r="K66" s="109">
        <f aca="true" t="shared" si="1" ref="K66:K71">L66/1.4</f>
        <v>35.714285714285715</v>
      </c>
      <c r="L66" s="110">
        <v>50</v>
      </c>
      <c r="M66" s="110" t="s">
        <v>185</v>
      </c>
      <c r="N66" s="111">
        <v>0.625</v>
      </c>
    </row>
    <row r="67" spans="1:14" ht="12.75">
      <c r="A67" s="128">
        <v>22</v>
      </c>
      <c r="B67" s="128" t="s">
        <v>167</v>
      </c>
      <c r="C67" s="129">
        <v>0.25</v>
      </c>
      <c r="D67" s="121" t="s">
        <v>338</v>
      </c>
      <c r="E67" s="122" t="s">
        <v>276</v>
      </c>
      <c r="F67" s="121" t="s">
        <v>340</v>
      </c>
      <c r="G67" s="137"/>
      <c r="H67" s="123"/>
      <c r="I67" s="132">
        <v>0.2638888888888889</v>
      </c>
      <c r="J67" s="124"/>
      <c r="K67" s="109">
        <f t="shared" si="1"/>
        <v>4.285714285714286</v>
      </c>
      <c r="L67" s="110">
        <v>6</v>
      </c>
      <c r="M67" s="110" t="s">
        <v>185</v>
      </c>
      <c r="N67" s="111">
        <v>0.013888888888888888</v>
      </c>
    </row>
    <row r="68" spans="1:14" ht="12.75">
      <c r="A68" s="128">
        <v>22</v>
      </c>
      <c r="B68" s="128" t="s">
        <v>167</v>
      </c>
      <c r="C68" s="129">
        <v>0.2916666666666667</v>
      </c>
      <c r="D68" s="77" t="s">
        <v>340</v>
      </c>
      <c r="E68" s="78" t="s">
        <v>276</v>
      </c>
      <c r="F68" s="77" t="s">
        <v>339</v>
      </c>
      <c r="G68" s="137"/>
      <c r="H68" s="123"/>
      <c r="I68" s="132"/>
      <c r="J68" s="124"/>
      <c r="K68" s="109">
        <f t="shared" si="1"/>
        <v>109.71428571428572</v>
      </c>
      <c r="L68" s="110">
        <v>153.6</v>
      </c>
      <c r="M68" s="110" t="s">
        <v>185</v>
      </c>
      <c r="N68" s="111"/>
    </row>
    <row r="69" spans="1:14" ht="12.75">
      <c r="A69" s="128"/>
      <c r="B69" s="128"/>
      <c r="C69" s="129"/>
      <c r="D69" s="77" t="s">
        <v>339</v>
      </c>
      <c r="E69" s="78" t="s">
        <v>276</v>
      </c>
      <c r="F69" s="77" t="s">
        <v>340</v>
      </c>
      <c r="G69" s="137"/>
      <c r="H69" s="123"/>
      <c r="I69" s="132"/>
      <c r="J69" s="123"/>
      <c r="K69" s="109">
        <f t="shared" si="1"/>
        <v>109.71428571428572</v>
      </c>
      <c r="L69" s="110">
        <v>153.6</v>
      </c>
      <c r="M69" s="110" t="s">
        <v>185</v>
      </c>
      <c r="N69" s="111"/>
    </row>
    <row r="70" spans="1:14" ht="12.75">
      <c r="A70" s="128"/>
      <c r="B70" s="128"/>
      <c r="C70" s="129"/>
      <c r="D70" s="77" t="s">
        <v>340</v>
      </c>
      <c r="E70" s="78" t="s">
        <v>276</v>
      </c>
      <c r="F70" s="77" t="s">
        <v>338</v>
      </c>
      <c r="G70" s="139"/>
      <c r="H70" s="126"/>
      <c r="I70" s="134"/>
      <c r="J70" s="125"/>
      <c r="K70" s="109">
        <f t="shared" si="1"/>
        <v>4.285714285714286</v>
      </c>
      <c r="L70" s="110">
        <v>6</v>
      </c>
      <c r="M70" s="110" t="s">
        <v>185</v>
      </c>
      <c r="N70" s="111">
        <v>0.013888888888888888</v>
      </c>
    </row>
    <row r="71" spans="1:15" ht="12.75">
      <c r="A71" s="128">
        <v>23</v>
      </c>
      <c r="B71" s="128" t="s">
        <v>169</v>
      </c>
      <c r="C71" s="129">
        <v>0.4583333333333333</v>
      </c>
      <c r="D71" s="77" t="s">
        <v>338</v>
      </c>
      <c r="E71" s="78" t="s">
        <v>276</v>
      </c>
      <c r="F71" s="77" t="s">
        <v>177</v>
      </c>
      <c r="G71" s="137"/>
      <c r="H71" s="123"/>
      <c r="I71" s="132">
        <v>0.6666666666666666</v>
      </c>
      <c r="J71" s="123"/>
      <c r="K71" s="109">
        <f t="shared" si="1"/>
        <v>21.42857142857143</v>
      </c>
      <c r="L71" s="110">
        <v>30</v>
      </c>
      <c r="M71" s="110" t="s">
        <v>185</v>
      </c>
      <c r="N71" s="111">
        <v>0.20833333333333334</v>
      </c>
      <c r="O71" t="s">
        <v>359</v>
      </c>
    </row>
    <row r="72" spans="1:10" ht="12.75">
      <c r="A72" s="128">
        <v>23</v>
      </c>
      <c r="B72" s="128" t="s">
        <v>169</v>
      </c>
      <c r="C72" s="129" t="s">
        <v>372</v>
      </c>
      <c r="D72" s="83" t="s">
        <v>177</v>
      </c>
      <c r="E72" s="84" t="s">
        <v>276</v>
      </c>
      <c r="F72" s="83" t="s">
        <v>366</v>
      </c>
      <c r="G72" s="137"/>
      <c r="H72" s="123"/>
      <c r="I72" s="132"/>
      <c r="J72" s="124"/>
    </row>
    <row r="73" spans="1:14" ht="12.75">
      <c r="A73" s="128">
        <v>23</v>
      </c>
      <c r="B73" s="128" t="s">
        <v>169</v>
      </c>
      <c r="C73" s="129">
        <v>0.6875</v>
      </c>
      <c r="D73" s="77" t="s">
        <v>177</v>
      </c>
      <c r="E73" s="78" t="s">
        <v>276</v>
      </c>
      <c r="F73" s="77" t="s">
        <v>176</v>
      </c>
      <c r="G73" s="140"/>
      <c r="H73" s="128"/>
      <c r="I73" s="129">
        <v>0.7916666666666666</v>
      </c>
      <c r="J73" s="128"/>
      <c r="K73" s="109">
        <f>L73*2</f>
        <v>7.8</v>
      </c>
      <c r="L73" s="110">
        <v>3.9</v>
      </c>
      <c r="M73" s="110" t="s">
        <v>172</v>
      </c>
      <c r="N73" s="111">
        <v>0.10416666666666667</v>
      </c>
    </row>
    <row r="74" spans="1:14" ht="12.75">
      <c r="A74" s="128">
        <v>24</v>
      </c>
      <c r="B74" s="128" t="s">
        <v>363</v>
      </c>
      <c r="C74" s="129">
        <v>0.3333333333333333</v>
      </c>
      <c r="D74" s="77" t="s">
        <v>176</v>
      </c>
      <c r="E74" s="78" t="s">
        <v>276</v>
      </c>
      <c r="F74" s="77" t="s">
        <v>290</v>
      </c>
      <c r="G74" s="137"/>
      <c r="H74" s="123"/>
      <c r="I74" s="132"/>
      <c r="J74" s="124"/>
      <c r="K74" s="109">
        <f>L74/3.2</f>
        <v>1.5625</v>
      </c>
      <c r="L74" s="110">
        <v>5</v>
      </c>
      <c r="M74" s="110" t="s">
        <v>260</v>
      </c>
      <c r="N74" s="110"/>
    </row>
    <row r="75" spans="1:14" ht="12.75">
      <c r="A75" s="128"/>
      <c r="B75" s="128"/>
      <c r="C75" s="129"/>
      <c r="D75" s="77" t="s">
        <v>289</v>
      </c>
      <c r="E75" s="78" t="s">
        <v>276</v>
      </c>
      <c r="F75" s="77" t="s">
        <v>176</v>
      </c>
      <c r="G75" s="137"/>
      <c r="H75" s="123"/>
      <c r="I75" s="132"/>
      <c r="J75" s="124"/>
      <c r="K75" s="109">
        <f>L75/3.2</f>
        <v>1.5625</v>
      </c>
      <c r="L75" s="110">
        <v>5</v>
      </c>
      <c r="M75" s="110" t="s">
        <v>260</v>
      </c>
      <c r="N75" s="110"/>
    </row>
    <row r="76" spans="1:14" ht="12.75">
      <c r="A76" s="128">
        <v>25</v>
      </c>
      <c r="B76" s="128" t="s">
        <v>170</v>
      </c>
      <c r="C76" s="129">
        <v>0.25</v>
      </c>
      <c r="D76" s="77" t="s">
        <v>176</v>
      </c>
      <c r="E76" s="78" t="s">
        <v>276</v>
      </c>
      <c r="F76" s="77" t="s">
        <v>175</v>
      </c>
      <c r="G76" s="137"/>
      <c r="H76" s="123"/>
      <c r="I76" s="132">
        <v>0.3958333333333333</v>
      </c>
      <c r="J76" s="124"/>
      <c r="K76" s="109">
        <f>L76*2</f>
        <v>4</v>
      </c>
      <c r="L76" s="110">
        <v>2</v>
      </c>
      <c r="M76" s="110" t="s">
        <v>172</v>
      </c>
      <c r="N76" s="111">
        <v>0.14583333333333334</v>
      </c>
    </row>
    <row r="77" spans="1:14" ht="12.75">
      <c r="A77" s="128">
        <v>25</v>
      </c>
      <c r="B77" s="128" t="s">
        <v>170</v>
      </c>
      <c r="C77" s="129">
        <v>0.5</v>
      </c>
      <c r="D77" s="77" t="s">
        <v>175</v>
      </c>
      <c r="E77" s="78" t="s">
        <v>276</v>
      </c>
      <c r="F77" s="77" t="s">
        <v>286</v>
      </c>
      <c r="G77" s="137"/>
      <c r="H77" s="123"/>
      <c r="I77" s="132"/>
      <c r="J77" s="124"/>
      <c r="K77" s="109">
        <f>L77*2</f>
        <v>7</v>
      </c>
      <c r="L77" s="110">
        <v>3.5</v>
      </c>
      <c r="M77" s="110" t="s">
        <v>172</v>
      </c>
      <c r="N77" s="111">
        <v>0.125</v>
      </c>
    </row>
    <row r="78" spans="1:14" ht="12.75">
      <c r="A78" s="128">
        <v>25</v>
      </c>
      <c r="B78" s="128" t="s">
        <v>170</v>
      </c>
      <c r="C78" s="129"/>
      <c r="D78" s="77" t="s">
        <v>179</v>
      </c>
      <c r="E78" s="78" t="s">
        <v>276</v>
      </c>
      <c r="F78" s="77" t="s">
        <v>175</v>
      </c>
      <c r="G78" s="137"/>
      <c r="H78" s="123"/>
      <c r="I78" s="132"/>
      <c r="J78" s="124"/>
      <c r="K78" s="109">
        <f>L78*2</f>
        <v>7</v>
      </c>
      <c r="L78" s="110">
        <v>3.5</v>
      </c>
      <c r="M78" s="110" t="s">
        <v>172</v>
      </c>
      <c r="N78" s="111">
        <v>0.125</v>
      </c>
    </row>
    <row r="79" spans="1:13" ht="12.75">
      <c r="A79" s="128">
        <v>26</v>
      </c>
      <c r="B79" s="128" t="s">
        <v>163</v>
      </c>
      <c r="C79" s="129">
        <v>0.3333333333333333</v>
      </c>
      <c r="D79" s="81" t="s">
        <v>175</v>
      </c>
      <c r="E79" s="82" t="s">
        <v>276</v>
      </c>
      <c r="F79" s="81" t="s">
        <v>337</v>
      </c>
      <c r="G79" s="137"/>
      <c r="H79" s="123"/>
      <c r="I79" s="132">
        <v>0.6666666666666666</v>
      </c>
      <c r="J79" s="124" t="s">
        <v>387</v>
      </c>
      <c r="K79" s="76">
        <f>L79/1.4</f>
        <v>92.85714285714286</v>
      </c>
      <c r="L79" s="141">
        <v>130</v>
      </c>
      <c r="M79" s="141" t="s">
        <v>185</v>
      </c>
    </row>
    <row r="80" spans="1:14" ht="12.75">
      <c r="A80" s="128">
        <v>27</v>
      </c>
      <c r="B80" s="128" t="s">
        <v>173</v>
      </c>
      <c r="C80" s="129">
        <v>0.3958333333333333</v>
      </c>
      <c r="D80" s="77" t="s">
        <v>175</v>
      </c>
      <c r="E80" s="78" t="s">
        <v>276</v>
      </c>
      <c r="F80" s="77" t="s">
        <v>342</v>
      </c>
      <c r="G80" s="137">
        <v>28</v>
      </c>
      <c r="H80" s="123" t="s">
        <v>166</v>
      </c>
      <c r="I80" s="132">
        <v>0.020833333333333332</v>
      </c>
      <c r="J80" s="124"/>
      <c r="K80" s="109">
        <f>L80*2</f>
        <v>19.98</v>
      </c>
      <c r="L80" s="110">
        <v>9.99</v>
      </c>
      <c r="M80" s="110" t="s">
        <v>172</v>
      </c>
      <c r="N80" s="111">
        <v>0.7083333333333334</v>
      </c>
    </row>
    <row r="81" spans="1:14" ht="12.75">
      <c r="A81" s="128">
        <v>28</v>
      </c>
      <c r="B81" s="128" t="s">
        <v>166</v>
      </c>
      <c r="C81" s="129">
        <v>0.16666666666666666</v>
      </c>
      <c r="D81" s="77" t="s">
        <v>343</v>
      </c>
      <c r="E81" s="78" t="s">
        <v>276</v>
      </c>
      <c r="F81" s="77" t="s">
        <v>344</v>
      </c>
      <c r="G81" s="137">
        <v>28</v>
      </c>
      <c r="H81" s="123" t="s">
        <v>166</v>
      </c>
      <c r="I81" s="132">
        <v>0.22916666666666666</v>
      </c>
      <c r="J81" s="123"/>
      <c r="K81">
        <v>272</v>
      </c>
      <c r="L81" t="s">
        <v>317</v>
      </c>
      <c r="M81" s="276" t="s">
        <v>374</v>
      </c>
      <c r="N81" s="276"/>
    </row>
    <row r="82" spans="1:14" ht="12.75">
      <c r="A82" s="128">
        <v>28</v>
      </c>
      <c r="B82" s="128" t="s">
        <v>166</v>
      </c>
      <c r="C82" s="129">
        <v>0.375</v>
      </c>
      <c r="D82" s="77" t="s">
        <v>347</v>
      </c>
      <c r="E82" s="78" t="s">
        <v>276</v>
      </c>
      <c r="F82" s="77" t="s">
        <v>288</v>
      </c>
      <c r="G82" s="137">
        <v>28</v>
      </c>
      <c r="H82" s="123" t="s">
        <v>166</v>
      </c>
      <c r="I82" s="132">
        <v>0.5625</v>
      </c>
      <c r="J82" s="123"/>
      <c r="K82">
        <v>55</v>
      </c>
      <c r="M82" s="142" t="s">
        <v>172</v>
      </c>
      <c r="N82">
        <f>L80+L78+L77+L76+L73+L64+L63</f>
        <v>174.89</v>
      </c>
    </row>
    <row r="83" spans="1:15" ht="12.75">
      <c r="A83" s="128">
        <v>28</v>
      </c>
      <c r="B83" s="128" t="s">
        <v>166</v>
      </c>
      <c r="C83" s="129"/>
      <c r="D83" s="83" t="s">
        <v>288</v>
      </c>
      <c r="E83" s="84" t="s">
        <v>276</v>
      </c>
      <c r="F83" s="83" t="s">
        <v>345</v>
      </c>
      <c r="G83" s="137"/>
      <c r="H83" s="123"/>
      <c r="I83" s="132"/>
      <c r="J83" s="123"/>
      <c r="K83">
        <v>25</v>
      </c>
      <c r="L83">
        <v>100</v>
      </c>
      <c r="M83" t="s">
        <v>185</v>
      </c>
      <c r="N83" s="76">
        <f>SUM(L66:L71)+L79</f>
        <v>529.2</v>
      </c>
      <c r="O83" t="s">
        <v>165</v>
      </c>
    </row>
    <row r="84" spans="1:15" ht="12.75">
      <c r="A84" s="128">
        <v>29</v>
      </c>
      <c r="B84" s="128" t="s">
        <v>167</v>
      </c>
      <c r="C84" s="129" t="s">
        <v>365</v>
      </c>
      <c r="D84" s="83" t="s">
        <v>288</v>
      </c>
      <c r="E84" s="84" t="s">
        <v>276</v>
      </c>
      <c r="F84" s="83" t="s">
        <v>346</v>
      </c>
      <c r="G84" s="137"/>
      <c r="H84" s="127"/>
      <c r="I84" s="132"/>
      <c r="J84" s="123"/>
      <c r="K84">
        <v>38</v>
      </c>
      <c r="L84">
        <v>160</v>
      </c>
      <c r="M84" s="142" t="s">
        <v>260</v>
      </c>
      <c r="N84">
        <f>L75+L74</f>
        <v>10</v>
      </c>
      <c r="O84" t="s">
        <v>375</v>
      </c>
    </row>
    <row r="85" spans="1:15" ht="12.75">
      <c r="A85" s="128">
        <v>29</v>
      </c>
      <c r="B85" s="128" t="s">
        <v>167</v>
      </c>
      <c r="C85" s="129"/>
      <c r="D85" s="83" t="s">
        <v>288</v>
      </c>
      <c r="E85" s="84" t="s">
        <v>276</v>
      </c>
      <c r="F85" s="83" t="s">
        <v>355</v>
      </c>
      <c r="G85" s="137"/>
      <c r="H85" s="127"/>
      <c r="I85" s="132"/>
      <c r="J85" s="123"/>
      <c r="K85">
        <v>88</v>
      </c>
      <c r="L85">
        <v>37000</v>
      </c>
      <c r="M85" t="s">
        <v>188</v>
      </c>
      <c r="N85">
        <f>L53+L54+L55+L56+L58+L59+L60+L62</f>
        <v>136200</v>
      </c>
      <c r="O85" t="s">
        <v>376</v>
      </c>
    </row>
    <row r="86" spans="1:11" ht="12.75">
      <c r="A86" s="128">
        <v>30</v>
      </c>
      <c r="B86" s="128" t="s">
        <v>169</v>
      </c>
      <c r="C86" s="129">
        <v>0.25</v>
      </c>
      <c r="D86" s="77" t="s">
        <v>288</v>
      </c>
      <c r="E86" s="78" t="s">
        <v>276</v>
      </c>
      <c r="F86" s="77" t="s">
        <v>255</v>
      </c>
      <c r="G86" s="137">
        <v>30</v>
      </c>
      <c r="H86" s="123" t="s">
        <v>169</v>
      </c>
      <c r="I86" s="132">
        <v>0.5</v>
      </c>
      <c r="J86" s="123"/>
      <c r="K86">
        <v>60</v>
      </c>
    </row>
    <row r="87" spans="1:11" ht="12.75">
      <c r="A87" s="128">
        <v>30</v>
      </c>
      <c r="B87" s="128" t="s">
        <v>169</v>
      </c>
      <c r="C87" s="129">
        <v>0.5972222222222222</v>
      </c>
      <c r="D87" s="77" t="s">
        <v>255</v>
      </c>
      <c r="E87" s="78" t="s">
        <v>276</v>
      </c>
      <c r="F87" s="77" t="s">
        <v>256</v>
      </c>
      <c r="G87" s="137">
        <v>30</v>
      </c>
      <c r="H87" s="123" t="s">
        <v>169</v>
      </c>
      <c r="I87" s="132">
        <v>0.8256944444444444</v>
      </c>
      <c r="J87" s="123"/>
      <c r="K87">
        <v>254.12</v>
      </c>
    </row>
    <row r="88" spans="9:11" ht="12.75">
      <c r="I88" t="s">
        <v>298</v>
      </c>
      <c r="K88" s="76">
        <f>SUM(K52:K87)</f>
        <v>2696.370864661654</v>
      </c>
    </row>
    <row r="89" spans="9:11" ht="12.75">
      <c r="I89" s="130" t="s">
        <v>259</v>
      </c>
      <c r="K89" s="76">
        <f>K85+K79+K83+K72+K63+K62+K61+K60+K59</f>
        <v>746.1578947368422</v>
      </c>
    </row>
    <row r="90" spans="9:11" ht="12.75">
      <c r="I90" s="130" t="s">
        <v>162</v>
      </c>
      <c r="J90" t="s">
        <v>368</v>
      </c>
      <c r="K90" s="76">
        <f>K53+K54+K55+K56+K58+K64+K65+K66+K67+K68+K69+K70+K71+K73+K74+K75+K76+K77+K78+K80</f>
        <v>609.7771804511278</v>
      </c>
    </row>
    <row r="91" spans="9:11" ht="12.75">
      <c r="I91" s="130" t="s">
        <v>370</v>
      </c>
      <c r="K91" s="76">
        <f>K90-K66-K67-K68-K69-K70-K71</f>
        <v>324.63432330827067</v>
      </c>
    </row>
    <row r="92" spans="9:11" ht="12.75">
      <c r="I92" s="130" t="s">
        <v>369</v>
      </c>
      <c r="K92" s="76">
        <f>K90+K82+K86</f>
        <v>724.7771804511278</v>
      </c>
    </row>
    <row r="93" spans="9:11" ht="12.75">
      <c r="I93" s="130" t="s">
        <v>371</v>
      </c>
      <c r="K93" s="76">
        <f>K92-K90+K91</f>
        <v>439.63432330827067</v>
      </c>
    </row>
    <row r="97" spans="3:7" ht="12.75">
      <c r="C97" s="130" t="s">
        <v>360</v>
      </c>
      <c r="G97" s="135" t="s">
        <v>361</v>
      </c>
    </row>
    <row r="98" spans="1:10" ht="12.75">
      <c r="A98" s="86" t="s">
        <v>362</v>
      </c>
      <c r="B98" s="86"/>
      <c r="C98" s="131" t="s">
        <v>161</v>
      </c>
      <c r="D98" s="85" t="s">
        <v>162</v>
      </c>
      <c r="E98" s="86"/>
      <c r="F98" s="85"/>
      <c r="G98" s="136" t="s">
        <v>362</v>
      </c>
      <c r="H98" s="98"/>
      <c r="I98" s="131" t="s">
        <v>161</v>
      </c>
      <c r="J98" s="98" t="s">
        <v>379</v>
      </c>
    </row>
    <row r="99" spans="1:14" ht="12.75">
      <c r="A99" s="128">
        <v>12</v>
      </c>
      <c r="B99" s="128" t="s">
        <v>163</v>
      </c>
      <c r="C99" s="129">
        <v>0.375</v>
      </c>
      <c r="D99" s="79" t="s">
        <v>272</v>
      </c>
      <c r="E99" s="80" t="s">
        <v>276</v>
      </c>
      <c r="F99" s="80" t="s">
        <v>273</v>
      </c>
      <c r="G99" s="137">
        <v>12</v>
      </c>
      <c r="H99" s="123" t="s">
        <v>163</v>
      </c>
      <c r="I99" s="132">
        <v>0.6041666666666666</v>
      </c>
      <c r="J99" s="124" t="s">
        <v>382</v>
      </c>
      <c r="K99" s="109"/>
      <c r="L99" s="110"/>
      <c r="M99" s="110"/>
      <c r="N99" s="111"/>
    </row>
    <row r="100" spans="1:14" ht="12.75">
      <c r="A100" s="128"/>
      <c r="B100" s="128"/>
      <c r="C100" s="129"/>
      <c r="D100" s="77" t="s">
        <v>274</v>
      </c>
      <c r="E100" s="78" t="s">
        <v>276</v>
      </c>
      <c r="F100" s="78" t="s">
        <v>275</v>
      </c>
      <c r="G100" s="143" t="s">
        <v>385</v>
      </c>
      <c r="H100" s="144"/>
      <c r="I100" s="132"/>
      <c r="J100" s="124" t="s">
        <v>304</v>
      </c>
      <c r="K100" s="109"/>
      <c r="L100" s="110"/>
      <c r="M100" s="110"/>
      <c r="N100" s="111"/>
    </row>
    <row r="101" spans="1:14" ht="12.75">
      <c r="A101" s="128"/>
      <c r="B101" s="128"/>
      <c r="C101" s="129"/>
      <c r="D101" s="77" t="s">
        <v>275</v>
      </c>
      <c r="E101" s="78" t="s">
        <v>276</v>
      </c>
      <c r="F101" s="77" t="s">
        <v>274</v>
      </c>
      <c r="G101" s="137" t="s">
        <v>386</v>
      </c>
      <c r="H101" s="123"/>
      <c r="I101" s="132"/>
      <c r="J101" s="124" t="s">
        <v>380</v>
      </c>
      <c r="K101" s="109"/>
      <c r="L101" s="110"/>
      <c r="M101" s="110"/>
      <c r="N101" s="111"/>
    </row>
    <row r="102" spans="1:14" ht="12.75">
      <c r="A102" s="128">
        <v>13</v>
      </c>
      <c r="B102" s="128" t="s">
        <v>173</v>
      </c>
      <c r="C102" s="129">
        <v>0.25</v>
      </c>
      <c r="D102" s="77" t="s">
        <v>274</v>
      </c>
      <c r="E102" s="78" t="s">
        <v>276</v>
      </c>
      <c r="F102" s="77" t="s">
        <v>277</v>
      </c>
      <c r="G102" s="137" t="s">
        <v>384</v>
      </c>
      <c r="H102" s="123"/>
      <c r="I102" s="132"/>
      <c r="J102" s="123"/>
      <c r="K102" s="109"/>
      <c r="L102" s="110"/>
      <c r="M102" s="110"/>
      <c r="N102" s="110"/>
    </row>
    <row r="103" spans="1:14" ht="12.75">
      <c r="A103" s="128"/>
      <c r="B103" s="128"/>
      <c r="C103" s="129"/>
      <c r="D103" s="77" t="s">
        <v>277</v>
      </c>
      <c r="E103" s="78" t="s">
        <v>276</v>
      </c>
      <c r="F103" s="77" t="s">
        <v>274</v>
      </c>
      <c r="G103" s="137">
        <v>13</v>
      </c>
      <c r="H103" s="123" t="s">
        <v>173</v>
      </c>
      <c r="I103" s="132">
        <v>0.75</v>
      </c>
      <c r="J103" s="123" t="s">
        <v>383</v>
      </c>
      <c r="K103" s="109"/>
      <c r="L103" s="110"/>
      <c r="M103" s="110"/>
      <c r="N103" s="110"/>
    </row>
    <row r="104" spans="1:14" ht="12.75">
      <c r="A104" s="128">
        <v>14</v>
      </c>
      <c r="B104" s="128" t="s">
        <v>166</v>
      </c>
      <c r="C104" s="129">
        <v>0.5</v>
      </c>
      <c r="D104" s="77" t="s">
        <v>274</v>
      </c>
      <c r="E104" s="78" t="s">
        <v>276</v>
      </c>
      <c r="F104" s="77" t="s">
        <v>168</v>
      </c>
      <c r="G104" s="137">
        <v>15</v>
      </c>
      <c r="H104" s="123" t="s">
        <v>167</v>
      </c>
      <c r="I104" s="132">
        <v>0.4583333333333333</v>
      </c>
      <c r="J104" s="124" t="s">
        <v>381</v>
      </c>
      <c r="K104" s="109"/>
      <c r="L104" s="110"/>
      <c r="M104" s="110"/>
      <c r="N104" s="111"/>
    </row>
    <row r="105" spans="1:14" ht="12.75">
      <c r="A105" s="128">
        <v>15</v>
      </c>
      <c r="B105" s="128" t="s">
        <v>167</v>
      </c>
      <c r="C105" s="129">
        <v>0.6666666666666666</v>
      </c>
      <c r="D105" s="83" t="s">
        <v>4</v>
      </c>
      <c r="E105" s="84" t="s">
        <v>276</v>
      </c>
      <c r="F105" s="83" t="s">
        <v>280</v>
      </c>
      <c r="G105" s="137">
        <v>15</v>
      </c>
      <c r="H105" s="123" t="s">
        <v>167</v>
      </c>
      <c r="I105" s="132">
        <v>0.875</v>
      </c>
      <c r="J105" s="123"/>
      <c r="K105" s="109"/>
      <c r="L105" s="110"/>
      <c r="M105" s="110"/>
      <c r="N105" s="110"/>
    </row>
    <row r="106" spans="1:14" ht="12.75">
      <c r="A106" s="128">
        <v>16</v>
      </c>
      <c r="B106" s="128" t="s">
        <v>169</v>
      </c>
      <c r="C106" s="129">
        <v>0.1875</v>
      </c>
      <c r="D106" s="83" t="s">
        <v>4</v>
      </c>
      <c r="E106" s="84" t="s">
        <v>276</v>
      </c>
      <c r="F106" s="83" t="s">
        <v>281</v>
      </c>
      <c r="G106" s="137">
        <v>16</v>
      </c>
      <c r="H106" s="123" t="s">
        <v>169</v>
      </c>
      <c r="I106" s="132">
        <v>0.5416666666666666</v>
      </c>
      <c r="J106" s="123"/>
      <c r="K106" s="109"/>
      <c r="L106" s="110"/>
      <c r="M106" s="110"/>
      <c r="N106" s="110"/>
    </row>
    <row r="107" spans="1:14" ht="12.75">
      <c r="A107" s="128"/>
      <c r="B107" s="128"/>
      <c r="C107" s="129"/>
      <c r="D107" s="83" t="s">
        <v>4</v>
      </c>
      <c r="E107" s="84" t="s">
        <v>276</v>
      </c>
      <c r="F107" s="83" t="s">
        <v>282</v>
      </c>
      <c r="G107" s="137"/>
      <c r="H107" s="123"/>
      <c r="I107" s="132"/>
      <c r="J107" s="123"/>
      <c r="K107" s="109"/>
      <c r="L107" s="110"/>
      <c r="M107" s="110"/>
      <c r="N107" s="110"/>
    </row>
    <row r="108" spans="1:14" ht="12.75">
      <c r="A108" s="128">
        <v>17</v>
      </c>
      <c r="B108" s="128" t="s">
        <v>363</v>
      </c>
      <c r="C108" s="129">
        <v>0.3333333333333333</v>
      </c>
      <c r="D108" s="83" t="s">
        <v>4</v>
      </c>
      <c r="E108" s="84" t="s">
        <v>276</v>
      </c>
      <c r="F108" s="83" t="s">
        <v>283</v>
      </c>
      <c r="G108" s="137">
        <v>17</v>
      </c>
      <c r="H108" s="123" t="s">
        <v>363</v>
      </c>
      <c r="I108" s="132">
        <v>0.6666666666666666</v>
      </c>
      <c r="J108" s="123"/>
      <c r="K108" s="109"/>
      <c r="L108" s="110"/>
      <c r="M108" s="110"/>
      <c r="N108" s="110"/>
    </row>
    <row r="109" spans="1:14" ht="12.75">
      <c r="A109" s="128">
        <v>18</v>
      </c>
      <c r="B109" s="128" t="s">
        <v>170</v>
      </c>
      <c r="C109" s="129">
        <v>0.3333333333333333</v>
      </c>
      <c r="D109" s="83" t="s">
        <v>4</v>
      </c>
      <c r="E109" s="84" t="s">
        <v>276</v>
      </c>
      <c r="F109" s="83" t="s">
        <v>284</v>
      </c>
      <c r="G109" s="137">
        <v>20</v>
      </c>
      <c r="H109" s="123" t="s">
        <v>173</v>
      </c>
      <c r="I109" s="132">
        <v>0.625</v>
      </c>
      <c r="J109" s="123"/>
      <c r="K109" s="109"/>
      <c r="L109" s="110"/>
      <c r="M109" s="110"/>
      <c r="N109" s="110"/>
    </row>
    <row r="110" spans="1:14" ht="12.75">
      <c r="A110" s="128">
        <v>20</v>
      </c>
      <c r="B110" s="128" t="s">
        <v>173</v>
      </c>
      <c r="C110" s="129">
        <v>0.8333333333333334</v>
      </c>
      <c r="D110" s="77" t="s">
        <v>284</v>
      </c>
      <c r="E110" s="78" t="s">
        <v>276</v>
      </c>
      <c r="F110" s="77" t="s">
        <v>175</v>
      </c>
      <c r="G110" s="137">
        <v>21</v>
      </c>
      <c r="H110" s="123" t="s">
        <v>166</v>
      </c>
      <c r="I110" s="132">
        <v>0.375</v>
      </c>
      <c r="J110" s="124"/>
      <c r="K110" s="109"/>
      <c r="L110" s="110"/>
      <c r="M110" s="110"/>
      <c r="N110" s="111"/>
    </row>
    <row r="111" spans="1:12" ht="12.75">
      <c r="A111" s="128">
        <v>21</v>
      </c>
      <c r="B111" s="128" t="s">
        <v>166</v>
      </c>
      <c r="C111" s="129">
        <v>0.5</v>
      </c>
      <c r="D111" s="77" t="s">
        <v>175</v>
      </c>
      <c r="E111" s="78" t="s">
        <v>276</v>
      </c>
      <c r="F111" s="77" t="s">
        <v>177</v>
      </c>
      <c r="G111" s="137">
        <v>21</v>
      </c>
      <c r="H111" s="123" t="s">
        <v>166</v>
      </c>
      <c r="I111" s="132">
        <v>0.625</v>
      </c>
      <c r="J111" s="124"/>
      <c r="L111" s="141"/>
    </row>
    <row r="112" spans="1:14" ht="12.75">
      <c r="A112" s="128">
        <v>21</v>
      </c>
      <c r="B112" s="128" t="s">
        <v>166</v>
      </c>
      <c r="C112" s="129">
        <v>0.6666666666666666</v>
      </c>
      <c r="D112" s="121" t="s">
        <v>177</v>
      </c>
      <c r="E112" s="122" t="s">
        <v>276</v>
      </c>
      <c r="F112" s="121" t="s">
        <v>338</v>
      </c>
      <c r="G112" s="137">
        <v>21</v>
      </c>
      <c r="H112" s="123" t="s">
        <v>166</v>
      </c>
      <c r="I112" s="132">
        <v>0.875</v>
      </c>
      <c r="J112" s="124" t="s">
        <v>498</v>
      </c>
      <c r="K112" s="109"/>
      <c r="L112" s="110"/>
      <c r="M112" s="110"/>
      <c r="N112" s="111"/>
    </row>
    <row r="113" spans="1:14" ht="12.75">
      <c r="A113" s="128">
        <v>22</v>
      </c>
      <c r="B113" s="128" t="s">
        <v>167</v>
      </c>
      <c r="C113" s="129">
        <v>0.25</v>
      </c>
      <c r="D113" s="121" t="s">
        <v>338</v>
      </c>
      <c r="E113" s="122" t="s">
        <v>276</v>
      </c>
      <c r="F113" s="121" t="s">
        <v>340</v>
      </c>
      <c r="G113" s="137"/>
      <c r="H113" s="123"/>
      <c r="I113" s="132">
        <v>0.2638888888888889</v>
      </c>
      <c r="J113" s="124" t="s">
        <v>317</v>
      </c>
      <c r="K113" s="109"/>
      <c r="L113" s="110"/>
      <c r="M113" s="110"/>
      <c r="N113" s="111"/>
    </row>
    <row r="114" spans="1:14" ht="12.75">
      <c r="A114" s="128">
        <v>22</v>
      </c>
      <c r="B114" s="128" t="s">
        <v>167</v>
      </c>
      <c r="C114" s="129">
        <v>0.2916666666666667</v>
      </c>
      <c r="D114" s="77" t="s">
        <v>340</v>
      </c>
      <c r="E114" s="78" t="s">
        <v>276</v>
      </c>
      <c r="F114" s="77" t="s">
        <v>339</v>
      </c>
      <c r="G114" s="137"/>
      <c r="H114" s="123"/>
      <c r="I114" s="132">
        <v>0.3541666666666667</v>
      </c>
      <c r="J114" s="124" t="s">
        <v>319</v>
      </c>
      <c r="K114" s="109"/>
      <c r="L114" s="110"/>
      <c r="M114" s="110"/>
      <c r="N114" s="111"/>
    </row>
    <row r="115" spans="1:14" ht="12.75">
      <c r="A115" s="128"/>
      <c r="B115" s="128"/>
      <c r="C115" s="129"/>
      <c r="D115" s="77" t="s">
        <v>339</v>
      </c>
      <c r="E115" s="78" t="s">
        <v>276</v>
      </c>
      <c r="F115" s="77" t="s">
        <v>340</v>
      </c>
      <c r="G115" s="137"/>
      <c r="H115" s="123"/>
      <c r="I115" s="132"/>
      <c r="J115" s="123"/>
      <c r="K115" s="109"/>
      <c r="L115" s="110"/>
      <c r="M115" s="110"/>
      <c r="N115" s="111"/>
    </row>
    <row r="116" spans="1:14" ht="12.75">
      <c r="A116" s="128"/>
      <c r="B116" s="128"/>
      <c r="C116" s="129"/>
      <c r="D116" s="77" t="s">
        <v>340</v>
      </c>
      <c r="E116" s="78" t="s">
        <v>276</v>
      </c>
      <c r="F116" s="77" t="s">
        <v>338</v>
      </c>
      <c r="G116" s="139"/>
      <c r="H116" s="126"/>
      <c r="I116" s="134"/>
      <c r="J116" s="125"/>
      <c r="K116" s="109"/>
      <c r="L116" s="110"/>
      <c r="M116" s="110"/>
      <c r="N116" s="111"/>
    </row>
    <row r="117" spans="1:14" ht="12.75">
      <c r="A117" s="128">
        <v>23</v>
      </c>
      <c r="B117" s="128" t="s">
        <v>169</v>
      </c>
      <c r="C117" s="129">
        <v>0.4583333333333333</v>
      </c>
      <c r="D117" s="77" t="s">
        <v>338</v>
      </c>
      <c r="E117" s="78" t="s">
        <v>276</v>
      </c>
      <c r="F117" s="77" t="s">
        <v>177</v>
      </c>
      <c r="G117" s="137"/>
      <c r="H117" s="123"/>
      <c r="I117" s="132">
        <v>0.6666666666666666</v>
      </c>
      <c r="J117" s="123"/>
      <c r="K117" s="109"/>
      <c r="L117" s="110"/>
      <c r="M117" s="110"/>
      <c r="N117" s="111"/>
    </row>
    <row r="118" spans="1:14" ht="12.75">
      <c r="A118" s="128">
        <v>23</v>
      </c>
      <c r="B118" s="128" t="s">
        <v>169</v>
      </c>
      <c r="C118" s="129">
        <v>0.6875</v>
      </c>
      <c r="D118" s="77" t="s">
        <v>177</v>
      </c>
      <c r="E118" s="78" t="s">
        <v>276</v>
      </c>
      <c r="F118" s="77" t="s">
        <v>176</v>
      </c>
      <c r="G118" s="140"/>
      <c r="H118" s="128"/>
      <c r="I118" s="129">
        <v>0.7916666666666666</v>
      </c>
      <c r="J118" s="128"/>
      <c r="K118" s="109"/>
      <c r="L118" s="110"/>
      <c r="M118" s="110"/>
      <c r="N118" s="111"/>
    </row>
    <row r="119" spans="1:14" ht="12.75">
      <c r="A119" s="128">
        <v>24</v>
      </c>
      <c r="B119" s="128" t="s">
        <v>363</v>
      </c>
      <c r="C119" s="129">
        <v>0.3333333333333333</v>
      </c>
      <c r="D119" s="77" t="s">
        <v>176</v>
      </c>
      <c r="E119" s="78" t="s">
        <v>276</v>
      </c>
      <c r="F119" s="77" t="s">
        <v>290</v>
      </c>
      <c r="G119" s="137"/>
      <c r="H119" s="123"/>
      <c r="I119" s="132"/>
      <c r="J119" s="124"/>
      <c r="K119" s="109"/>
      <c r="L119" s="110"/>
      <c r="M119" s="110"/>
      <c r="N119" s="110"/>
    </row>
    <row r="120" spans="1:14" ht="12.75">
      <c r="A120" s="128"/>
      <c r="B120" s="128"/>
      <c r="C120" s="129"/>
      <c r="D120" s="77" t="s">
        <v>289</v>
      </c>
      <c r="E120" s="78" t="s">
        <v>276</v>
      </c>
      <c r="F120" s="77" t="s">
        <v>176</v>
      </c>
      <c r="G120" s="137"/>
      <c r="H120" s="123"/>
      <c r="I120" s="132"/>
      <c r="J120" s="124"/>
      <c r="K120" s="109"/>
      <c r="L120" s="110"/>
      <c r="M120" s="110"/>
      <c r="N120" s="110"/>
    </row>
    <row r="121" spans="1:14" ht="12.75">
      <c r="A121" s="128">
        <v>25</v>
      </c>
      <c r="B121" s="128" t="s">
        <v>170</v>
      </c>
      <c r="C121" s="129">
        <v>0.25</v>
      </c>
      <c r="D121" s="77" t="s">
        <v>176</v>
      </c>
      <c r="E121" s="78" t="s">
        <v>276</v>
      </c>
      <c r="F121" s="77" t="s">
        <v>175</v>
      </c>
      <c r="G121" s="137"/>
      <c r="H121" s="123"/>
      <c r="I121" s="132">
        <v>0.3958333333333333</v>
      </c>
      <c r="J121" s="124"/>
      <c r="K121" s="109"/>
      <c r="L121" s="110"/>
      <c r="M121" s="110"/>
      <c r="N121" s="111"/>
    </row>
    <row r="122" spans="1:14" ht="12.75">
      <c r="A122" s="128">
        <v>25</v>
      </c>
      <c r="B122" s="128" t="s">
        <v>170</v>
      </c>
      <c r="C122" s="129">
        <v>0.5</v>
      </c>
      <c r="D122" s="77" t="s">
        <v>175</v>
      </c>
      <c r="E122" s="78" t="s">
        <v>276</v>
      </c>
      <c r="F122" s="77" t="s">
        <v>286</v>
      </c>
      <c r="G122" s="137"/>
      <c r="H122" s="123"/>
      <c r="I122" s="132"/>
      <c r="J122" s="124"/>
      <c r="K122" s="109"/>
      <c r="L122" s="110"/>
      <c r="M122" s="110"/>
      <c r="N122" s="111"/>
    </row>
    <row r="123" spans="1:14" ht="12.75">
      <c r="A123" s="128">
        <v>25</v>
      </c>
      <c r="B123" s="128" t="s">
        <v>170</v>
      </c>
      <c r="C123" s="129"/>
      <c r="D123" s="77" t="s">
        <v>179</v>
      </c>
      <c r="E123" s="78" t="s">
        <v>276</v>
      </c>
      <c r="F123" s="77" t="s">
        <v>175</v>
      </c>
      <c r="G123" s="137"/>
      <c r="H123" s="123"/>
      <c r="I123" s="132"/>
      <c r="J123" s="124"/>
      <c r="K123" s="109"/>
      <c r="L123" s="110"/>
      <c r="M123" s="110"/>
      <c r="N123" s="111"/>
    </row>
    <row r="124" spans="1:10" ht="12.75">
      <c r="A124" s="128">
        <v>26</v>
      </c>
      <c r="B124" s="128" t="s">
        <v>163</v>
      </c>
      <c r="C124" s="129">
        <v>0.3333333333333333</v>
      </c>
      <c r="D124" s="81" t="s">
        <v>175</v>
      </c>
      <c r="E124" s="82" t="s">
        <v>276</v>
      </c>
      <c r="F124" s="81" t="s">
        <v>337</v>
      </c>
      <c r="G124" s="137"/>
      <c r="H124" s="123"/>
      <c r="I124" s="132">
        <v>0.6666666666666666</v>
      </c>
      <c r="J124" s="124"/>
    </row>
    <row r="125" spans="1:14" ht="12.75">
      <c r="A125" s="128">
        <v>26</v>
      </c>
      <c r="B125" s="128" t="s">
        <v>163</v>
      </c>
      <c r="C125" s="129">
        <v>0.8333333333333334</v>
      </c>
      <c r="D125" s="77" t="s">
        <v>175</v>
      </c>
      <c r="E125" s="78" t="s">
        <v>276</v>
      </c>
      <c r="F125" s="77" t="s">
        <v>342</v>
      </c>
      <c r="G125" s="137">
        <v>27</v>
      </c>
      <c r="H125" s="123" t="s">
        <v>173</v>
      </c>
      <c r="I125" s="132">
        <v>0.5416666666666666</v>
      </c>
      <c r="J125" s="124"/>
      <c r="K125" s="109"/>
      <c r="L125" s="110"/>
      <c r="M125" s="110"/>
      <c r="N125" s="111"/>
    </row>
    <row r="126" spans="1:14" ht="12.75">
      <c r="A126" s="128">
        <v>28</v>
      </c>
      <c r="B126" s="128" t="s">
        <v>166</v>
      </c>
      <c r="C126" s="129">
        <v>0.16666666666666666</v>
      </c>
      <c r="D126" s="77" t="s">
        <v>343</v>
      </c>
      <c r="E126" s="78" t="s">
        <v>276</v>
      </c>
      <c r="F126" s="77" t="s">
        <v>344</v>
      </c>
      <c r="G126" s="137">
        <v>28</v>
      </c>
      <c r="H126" s="123" t="s">
        <v>166</v>
      </c>
      <c r="I126" s="132">
        <v>0.22916666666666666</v>
      </c>
      <c r="J126" s="123"/>
      <c r="M126" s="276"/>
      <c r="N126" s="276"/>
    </row>
    <row r="127" spans="1:13" ht="12.75">
      <c r="A127" s="128">
        <v>28</v>
      </c>
      <c r="B127" s="128" t="s">
        <v>166</v>
      </c>
      <c r="C127" s="129">
        <v>0.375</v>
      </c>
      <c r="D127" s="77" t="s">
        <v>347</v>
      </c>
      <c r="E127" s="78" t="s">
        <v>276</v>
      </c>
      <c r="F127" s="77" t="s">
        <v>288</v>
      </c>
      <c r="G127" s="137">
        <v>28</v>
      </c>
      <c r="H127" s="123" t="s">
        <v>166</v>
      </c>
      <c r="I127" s="132">
        <v>0.5625</v>
      </c>
      <c r="J127" s="123"/>
      <c r="M127" s="142"/>
    </row>
    <row r="128" spans="1:14" ht="12.75">
      <c r="A128" s="128">
        <v>28</v>
      </c>
      <c r="B128" s="128" t="s">
        <v>166</v>
      </c>
      <c r="C128" s="129"/>
      <c r="D128" s="83" t="s">
        <v>288</v>
      </c>
      <c r="E128" s="84" t="s">
        <v>276</v>
      </c>
      <c r="F128" s="83" t="s">
        <v>345</v>
      </c>
      <c r="G128" s="137"/>
      <c r="H128" s="123"/>
      <c r="I128" s="132"/>
      <c r="J128" s="123"/>
      <c r="N128" s="76"/>
    </row>
    <row r="129" spans="1:13" ht="12.75">
      <c r="A129" s="128">
        <v>29</v>
      </c>
      <c r="B129" s="128" t="s">
        <v>167</v>
      </c>
      <c r="C129" s="129" t="s">
        <v>365</v>
      </c>
      <c r="D129" s="83" t="s">
        <v>288</v>
      </c>
      <c r="E129" s="84" t="s">
        <v>276</v>
      </c>
      <c r="F129" s="83" t="s">
        <v>346</v>
      </c>
      <c r="G129" s="137"/>
      <c r="H129" s="127"/>
      <c r="I129" s="132"/>
      <c r="J129" s="123"/>
      <c r="M129" s="142"/>
    </row>
    <row r="130" spans="1:10" ht="12.75">
      <c r="A130" s="128">
        <v>29</v>
      </c>
      <c r="B130" s="128" t="s">
        <v>167</v>
      </c>
      <c r="C130" s="129"/>
      <c r="D130" s="83" t="s">
        <v>288</v>
      </c>
      <c r="E130" s="84" t="s">
        <v>276</v>
      </c>
      <c r="F130" s="83" t="s">
        <v>355</v>
      </c>
      <c r="G130" s="137"/>
      <c r="H130" s="127"/>
      <c r="I130" s="132"/>
      <c r="J130" s="123"/>
    </row>
    <row r="131" spans="1:10" ht="12.75">
      <c r="A131" s="128">
        <v>30</v>
      </c>
      <c r="B131" s="128" t="s">
        <v>169</v>
      </c>
      <c r="C131" s="129">
        <v>0.25</v>
      </c>
      <c r="D131" s="77" t="s">
        <v>288</v>
      </c>
      <c r="E131" s="78" t="s">
        <v>276</v>
      </c>
      <c r="F131" s="77" t="s">
        <v>255</v>
      </c>
      <c r="G131" s="137">
        <v>30</v>
      </c>
      <c r="H131" s="123" t="s">
        <v>169</v>
      </c>
      <c r="I131" s="132">
        <v>0.5</v>
      </c>
      <c r="J131" s="123"/>
    </row>
    <row r="132" spans="1:10" ht="12.75">
      <c r="A132" s="128">
        <v>30</v>
      </c>
      <c r="B132" s="128" t="s">
        <v>169</v>
      </c>
      <c r="C132" s="129">
        <v>0.5972222222222222</v>
      </c>
      <c r="D132" s="77" t="s">
        <v>255</v>
      </c>
      <c r="E132" s="78" t="s">
        <v>276</v>
      </c>
      <c r="F132" s="77" t="s">
        <v>256</v>
      </c>
      <c r="G132" s="137">
        <v>30</v>
      </c>
      <c r="H132" s="123" t="s">
        <v>169</v>
      </c>
      <c r="I132" s="132">
        <v>0.8256944444444444</v>
      </c>
      <c r="J132" s="123"/>
    </row>
    <row r="134" spans="2:8" ht="12.75">
      <c r="B134" s="210" t="s">
        <v>360</v>
      </c>
      <c r="H134" t="s">
        <v>361</v>
      </c>
    </row>
    <row r="135" spans="1:9" ht="12.75">
      <c r="A135" s="86" t="s">
        <v>362</v>
      </c>
      <c r="B135" s="86"/>
      <c r="C135" s="131" t="s">
        <v>161</v>
      </c>
      <c r="D135" s="85" t="s">
        <v>162</v>
      </c>
      <c r="E135" s="86"/>
      <c r="F135" s="85"/>
      <c r="G135" s="136" t="s">
        <v>362</v>
      </c>
      <c r="H135" s="98"/>
      <c r="I135" s="131" t="s">
        <v>161</v>
      </c>
    </row>
    <row r="136" spans="1:9" ht="12.75">
      <c r="A136" s="128">
        <v>11</v>
      </c>
      <c r="B136" s="128" t="s">
        <v>170</v>
      </c>
      <c r="C136" s="129">
        <v>0.375</v>
      </c>
      <c r="D136" s="79" t="s">
        <v>272</v>
      </c>
      <c r="E136" s="80" t="s">
        <v>276</v>
      </c>
      <c r="F136" s="80" t="s">
        <v>273</v>
      </c>
      <c r="G136" s="137">
        <v>11</v>
      </c>
      <c r="H136" s="123" t="s">
        <v>170</v>
      </c>
      <c r="I136" s="132">
        <v>0.6319444444444444</v>
      </c>
    </row>
    <row r="137" spans="1:9" ht="12.75">
      <c r="A137" s="128">
        <v>12</v>
      </c>
      <c r="B137" s="128" t="s">
        <v>163</v>
      </c>
      <c r="C137" s="129"/>
      <c r="D137" s="77" t="s">
        <v>274</v>
      </c>
      <c r="E137" s="78" t="s">
        <v>276</v>
      </c>
      <c r="F137" s="78" t="s">
        <v>275</v>
      </c>
      <c r="G137" s="137"/>
      <c r="H137" s="123"/>
      <c r="I137" s="132"/>
    </row>
    <row r="138" spans="1:9" ht="12.75">
      <c r="A138" s="128"/>
      <c r="B138" s="128"/>
      <c r="C138" s="129"/>
      <c r="D138" s="77" t="s">
        <v>275</v>
      </c>
      <c r="E138" s="78" t="s">
        <v>276</v>
      </c>
      <c r="F138" s="77" t="s">
        <v>274</v>
      </c>
      <c r="G138" s="137"/>
      <c r="H138" s="123"/>
      <c r="I138" s="132"/>
    </row>
    <row r="139" spans="1:9" ht="12.75">
      <c r="A139" s="128">
        <v>12</v>
      </c>
      <c r="B139" s="128" t="s">
        <v>163</v>
      </c>
      <c r="C139" s="129"/>
      <c r="D139" s="77" t="s">
        <v>274</v>
      </c>
      <c r="E139" s="78" t="s">
        <v>276</v>
      </c>
      <c r="F139" s="77" t="s">
        <v>277</v>
      </c>
      <c r="G139" s="137"/>
      <c r="H139" s="123"/>
      <c r="I139" s="132"/>
    </row>
    <row r="140" spans="1:9" ht="12.75">
      <c r="A140" s="128"/>
      <c r="B140" s="128"/>
      <c r="C140" s="129"/>
      <c r="D140" s="77" t="s">
        <v>277</v>
      </c>
      <c r="E140" s="78" t="s">
        <v>276</v>
      </c>
      <c r="F140" s="77" t="s">
        <v>274</v>
      </c>
      <c r="G140" s="137"/>
      <c r="H140" s="123"/>
      <c r="I140" s="132"/>
    </row>
    <row r="141" spans="1:9" ht="12.75">
      <c r="A141" s="128"/>
      <c r="B141" s="128"/>
      <c r="C141" s="129"/>
      <c r="D141" s="112" t="s">
        <v>278</v>
      </c>
      <c r="E141" s="113"/>
      <c r="F141" s="112" t="s">
        <v>279</v>
      </c>
      <c r="G141" s="138"/>
      <c r="H141" s="125"/>
      <c r="I141" s="133"/>
    </row>
    <row r="142" spans="1:9" ht="12.75">
      <c r="A142" s="128">
        <v>13</v>
      </c>
      <c r="B142" s="128" t="s">
        <v>173</v>
      </c>
      <c r="C142" s="129">
        <v>0.5</v>
      </c>
      <c r="D142" s="77" t="s">
        <v>274</v>
      </c>
      <c r="E142" s="78" t="s">
        <v>276</v>
      </c>
      <c r="F142" s="77" t="s">
        <v>168</v>
      </c>
      <c r="G142" s="137">
        <v>14</v>
      </c>
      <c r="H142" s="123" t="s">
        <v>166</v>
      </c>
      <c r="I142" s="132">
        <v>0.4583333333333333</v>
      </c>
    </row>
    <row r="143" spans="1:9" ht="12.75">
      <c r="A143" s="128">
        <v>14</v>
      </c>
      <c r="B143" s="128" t="s">
        <v>166</v>
      </c>
      <c r="C143" s="129">
        <v>0.6666666666666666</v>
      </c>
      <c r="D143" s="83" t="s">
        <v>4</v>
      </c>
      <c r="E143" s="84" t="s">
        <v>276</v>
      </c>
      <c r="F143" s="83" t="s">
        <v>280</v>
      </c>
      <c r="G143" s="137">
        <v>14</v>
      </c>
      <c r="H143" s="123" t="s">
        <v>166</v>
      </c>
      <c r="I143" s="132">
        <v>0.875</v>
      </c>
    </row>
    <row r="144" spans="1:9" ht="12.75">
      <c r="A144" s="128">
        <v>15</v>
      </c>
      <c r="B144" s="128" t="s">
        <v>167</v>
      </c>
      <c r="C144" s="129">
        <v>0.1875</v>
      </c>
      <c r="D144" s="83" t="s">
        <v>4</v>
      </c>
      <c r="E144" s="84" t="s">
        <v>276</v>
      </c>
      <c r="F144" s="83" t="s">
        <v>281</v>
      </c>
      <c r="G144" s="137">
        <v>15</v>
      </c>
      <c r="H144" s="123" t="s">
        <v>167</v>
      </c>
      <c r="I144" s="132">
        <v>0.5416666666666666</v>
      </c>
    </row>
    <row r="145" spans="1:9" ht="12.75">
      <c r="A145" s="128"/>
      <c r="B145" s="128"/>
      <c r="C145" s="129"/>
      <c r="D145" s="83" t="s">
        <v>4</v>
      </c>
      <c r="E145" s="84" t="s">
        <v>276</v>
      </c>
      <c r="F145" s="83" t="s">
        <v>282</v>
      </c>
      <c r="G145" s="137"/>
      <c r="H145" s="123"/>
      <c r="I145" s="132"/>
    </row>
    <row r="146" spans="1:9" ht="12.75">
      <c r="A146" s="128"/>
      <c r="B146" s="128"/>
      <c r="C146" s="129"/>
      <c r="D146" s="112" t="s">
        <v>4</v>
      </c>
      <c r="E146" s="113" t="s">
        <v>276</v>
      </c>
      <c r="F146" s="112" t="s">
        <v>283</v>
      </c>
      <c r="G146" s="137"/>
      <c r="H146" s="123"/>
      <c r="I146" s="132"/>
    </row>
    <row r="147" spans="1:9" ht="12.75">
      <c r="A147" s="128">
        <v>16</v>
      </c>
      <c r="B147" s="128" t="s">
        <v>169</v>
      </c>
      <c r="C147" s="129">
        <v>0.3333333333333333</v>
      </c>
      <c r="D147" s="83" t="s">
        <v>4</v>
      </c>
      <c r="E147" s="84" t="s">
        <v>276</v>
      </c>
      <c r="F147" s="83" t="s">
        <v>284</v>
      </c>
      <c r="G147" s="137">
        <v>18</v>
      </c>
      <c r="H147" s="123" t="s">
        <v>170</v>
      </c>
      <c r="I147" s="132">
        <v>0.625</v>
      </c>
    </row>
    <row r="148" spans="1:9" ht="12.75">
      <c r="A148" s="128">
        <v>18</v>
      </c>
      <c r="B148" s="128" t="s">
        <v>170</v>
      </c>
      <c r="C148" s="129">
        <v>0.7708333333333334</v>
      </c>
      <c r="D148" s="77" t="s">
        <v>284</v>
      </c>
      <c r="E148" s="78" t="s">
        <v>276</v>
      </c>
      <c r="F148" s="77" t="s">
        <v>285</v>
      </c>
      <c r="G148" s="137">
        <v>19</v>
      </c>
      <c r="H148" s="123" t="s">
        <v>163</v>
      </c>
      <c r="I148" s="132">
        <v>0.020833333333333332</v>
      </c>
    </row>
    <row r="149" spans="1:9" ht="12.75">
      <c r="A149" s="128">
        <v>19</v>
      </c>
      <c r="B149" s="128" t="s">
        <v>163</v>
      </c>
      <c r="C149" s="129">
        <v>0.7083333333333334</v>
      </c>
      <c r="D149" s="77" t="s">
        <v>285</v>
      </c>
      <c r="E149" s="78" t="s">
        <v>276</v>
      </c>
      <c r="F149" s="77" t="s">
        <v>175</v>
      </c>
      <c r="G149" s="137"/>
      <c r="H149" s="123"/>
      <c r="I149" s="132"/>
    </row>
    <row r="150" spans="1:9" ht="12.75">
      <c r="A150" s="128">
        <v>21</v>
      </c>
      <c r="B150" s="128" t="s">
        <v>166</v>
      </c>
      <c r="C150" s="129">
        <v>0.5</v>
      </c>
      <c r="D150" s="77" t="s">
        <v>175</v>
      </c>
      <c r="E150" s="78" t="s">
        <v>276</v>
      </c>
      <c r="F150" s="77" t="s">
        <v>286</v>
      </c>
      <c r="G150" s="137">
        <v>21</v>
      </c>
      <c r="H150" s="123" t="s">
        <v>166</v>
      </c>
      <c r="I150" s="132">
        <v>0.625</v>
      </c>
    </row>
    <row r="151" spans="1:9" ht="12.75">
      <c r="A151" s="128">
        <v>21</v>
      </c>
      <c r="B151" s="128" t="s">
        <v>166</v>
      </c>
      <c r="C151" s="129">
        <v>0.75</v>
      </c>
      <c r="D151" s="77" t="s">
        <v>179</v>
      </c>
      <c r="E151" s="78" t="s">
        <v>276</v>
      </c>
      <c r="F151" s="77" t="s">
        <v>175</v>
      </c>
      <c r="G151" s="137">
        <v>21</v>
      </c>
      <c r="H151" s="123" t="s">
        <v>166</v>
      </c>
      <c r="I151" s="132">
        <v>0.875</v>
      </c>
    </row>
    <row r="152" spans="1:9" ht="12.75">
      <c r="A152" s="128">
        <v>22</v>
      </c>
      <c r="B152" s="128" t="s">
        <v>167</v>
      </c>
      <c r="C152" s="129">
        <v>0.3333333333333333</v>
      </c>
      <c r="D152" s="81" t="s">
        <v>175</v>
      </c>
      <c r="E152" s="82" t="s">
        <v>276</v>
      </c>
      <c r="F152" s="81" t="s">
        <v>337</v>
      </c>
      <c r="G152" s="137"/>
      <c r="H152" s="123"/>
      <c r="I152" s="132">
        <v>0.5416666666666666</v>
      </c>
    </row>
    <row r="153" spans="1:9" ht="12.75">
      <c r="A153" s="128">
        <v>22</v>
      </c>
      <c r="B153" s="128" t="s">
        <v>167</v>
      </c>
      <c r="C153" s="129">
        <v>0.5416666666666666</v>
      </c>
      <c r="D153" s="77" t="s">
        <v>175</v>
      </c>
      <c r="E153" s="78" t="s">
        <v>276</v>
      </c>
      <c r="F153" s="77" t="s">
        <v>176</v>
      </c>
      <c r="G153" s="137"/>
      <c r="H153" s="123"/>
      <c r="I153" s="132">
        <v>0.6666666666666666</v>
      </c>
    </row>
    <row r="154" spans="1:9" ht="12.75">
      <c r="A154" s="128">
        <v>23</v>
      </c>
      <c r="B154" s="128" t="s">
        <v>169</v>
      </c>
      <c r="C154" s="129"/>
      <c r="D154" s="77" t="s">
        <v>176</v>
      </c>
      <c r="E154" s="78" t="s">
        <v>276</v>
      </c>
      <c r="F154" s="77" t="s">
        <v>290</v>
      </c>
      <c r="G154" s="137"/>
      <c r="H154" s="123"/>
      <c r="I154" s="132"/>
    </row>
    <row r="155" spans="1:9" ht="12.75">
      <c r="A155" s="128"/>
      <c r="B155" s="128"/>
      <c r="C155" s="129"/>
      <c r="D155" s="116"/>
      <c r="E155" s="117"/>
      <c r="F155" s="83" t="s">
        <v>291</v>
      </c>
      <c r="G155" s="139"/>
      <c r="H155" s="126"/>
      <c r="I155" s="134"/>
    </row>
    <row r="156" spans="1:9" ht="12.75">
      <c r="A156" s="128"/>
      <c r="B156" s="128"/>
      <c r="C156" s="129"/>
      <c r="D156" s="77" t="s">
        <v>289</v>
      </c>
      <c r="E156" s="78" t="s">
        <v>276</v>
      </c>
      <c r="F156" s="77" t="s">
        <v>176</v>
      </c>
      <c r="G156" s="137"/>
      <c r="H156" s="123"/>
      <c r="I156" s="132"/>
    </row>
    <row r="157" spans="1:9" ht="12.75">
      <c r="A157" s="128">
        <v>23</v>
      </c>
      <c r="B157" s="128" t="s">
        <v>169</v>
      </c>
      <c r="C157" s="129">
        <v>0.7083333333333334</v>
      </c>
      <c r="D157" s="77" t="s">
        <v>176</v>
      </c>
      <c r="E157" s="78" t="s">
        <v>276</v>
      </c>
      <c r="F157" s="77" t="s">
        <v>177</v>
      </c>
      <c r="G157" s="137"/>
      <c r="H157" s="123"/>
      <c r="I157" s="132">
        <v>0.8125</v>
      </c>
    </row>
    <row r="158" spans="1:9" ht="12.75">
      <c r="A158" s="128">
        <v>24</v>
      </c>
      <c r="B158" s="128" t="s">
        <v>363</v>
      </c>
      <c r="C158" s="129"/>
      <c r="D158" s="83" t="s">
        <v>177</v>
      </c>
      <c r="E158" s="84" t="s">
        <v>276</v>
      </c>
      <c r="F158" s="83" t="s">
        <v>366</v>
      </c>
      <c r="G158" s="140"/>
      <c r="H158" s="128"/>
      <c r="I158" s="129"/>
    </row>
    <row r="159" spans="1:9" ht="12.75">
      <c r="A159" s="128">
        <v>24</v>
      </c>
      <c r="B159" s="128" t="s">
        <v>363</v>
      </c>
      <c r="C159" s="129">
        <v>0.5416666666666666</v>
      </c>
      <c r="D159" s="121" t="s">
        <v>177</v>
      </c>
      <c r="E159" s="122" t="s">
        <v>276</v>
      </c>
      <c r="F159" s="121" t="s">
        <v>338</v>
      </c>
      <c r="G159" s="137"/>
      <c r="H159" s="123"/>
      <c r="I159" s="132">
        <v>0.75</v>
      </c>
    </row>
    <row r="160" spans="1:9" ht="12.75">
      <c r="A160" s="128">
        <v>25</v>
      </c>
      <c r="B160" s="128" t="s">
        <v>170</v>
      </c>
      <c r="C160" s="129"/>
      <c r="D160" s="121" t="s">
        <v>338</v>
      </c>
      <c r="E160" s="122" t="s">
        <v>276</v>
      </c>
      <c r="F160" s="121" t="s">
        <v>340</v>
      </c>
      <c r="G160" s="137"/>
      <c r="H160" s="123"/>
      <c r="I160" s="132"/>
    </row>
    <row r="161" spans="1:9" ht="12.75">
      <c r="A161" s="128">
        <v>25</v>
      </c>
      <c r="B161" s="128" t="s">
        <v>170</v>
      </c>
      <c r="C161" s="129"/>
      <c r="D161" s="77" t="s">
        <v>340</v>
      </c>
      <c r="E161" s="78" t="s">
        <v>276</v>
      </c>
      <c r="F161" s="77" t="s">
        <v>339</v>
      </c>
      <c r="G161" s="137"/>
      <c r="H161" s="123"/>
      <c r="I161" s="132"/>
    </row>
    <row r="162" spans="1:9" ht="12.75">
      <c r="A162" s="128">
        <v>25</v>
      </c>
      <c r="B162" s="128" t="s">
        <v>170</v>
      </c>
      <c r="C162" s="129"/>
      <c r="D162" s="77" t="s">
        <v>339</v>
      </c>
      <c r="E162" s="78" t="s">
        <v>276</v>
      </c>
      <c r="F162" s="77" t="s">
        <v>340</v>
      </c>
      <c r="G162" s="137"/>
      <c r="H162" s="123"/>
      <c r="I162" s="132"/>
    </row>
    <row r="163" spans="1:9" ht="12.75">
      <c r="A163" s="128">
        <v>25</v>
      </c>
      <c r="B163" s="128" t="s">
        <v>170</v>
      </c>
      <c r="C163" s="129"/>
      <c r="D163" s="77" t="s">
        <v>340</v>
      </c>
      <c r="E163" s="78" t="s">
        <v>276</v>
      </c>
      <c r="F163" s="77" t="s">
        <v>338</v>
      </c>
      <c r="G163" s="137"/>
      <c r="H163" s="123"/>
      <c r="I163" s="132"/>
    </row>
    <row r="164" spans="1:9" ht="12.75">
      <c r="A164" s="128">
        <v>25</v>
      </c>
      <c r="B164" s="128" t="s">
        <v>170</v>
      </c>
      <c r="C164" s="129"/>
      <c r="D164" s="77" t="s">
        <v>338</v>
      </c>
      <c r="E164" s="78" t="s">
        <v>276</v>
      </c>
      <c r="F164" s="77" t="s">
        <v>175</v>
      </c>
      <c r="G164" s="137"/>
      <c r="H164" s="123"/>
      <c r="I164" s="132"/>
    </row>
    <row r="165" spans="1:9" ht="12.75">
      <c r="A165" s="128">
        <v>26</v>
      </c>
      <c r="B165" s="128" t="s">
        <v>163</v>
      </c>
      <c r="C165" s="129">
        <v>0.3958333333333333</v>
      </c>
      <c r="D165" s="77" t="s">
        <v>175</v>
      </c>
      <c r="E165" s="78" t="s">
        <v>276</v>
      </c>
      <c r="F165" s="77" t="s">
        <v>341</v>
      </c>
      <c r="G165" s="137">
        <v>26</v>
      </c>
      <c r="H165" s="123" t="s">
        <v>163</v>
      </c>
      <c r="I165" s="132">
        <v>0.020833333333333332</v>
      </c>
    </row>
    <row r="166" spans="1:9" ht="12.75">
      <c r="A166" s="128">
        <v>28</v>
      </c>
      <c r="B166" s="128" t="s">
        <v>166</v>
      </c>
      <c r="C166" s="129">
        <v>0.16666666666666666</v>
      </c>
      <c r="D166" s="77" t="s">
        <v>343</v>
      </c>
      <c r="E166" s="78" t="s">
        <v>276</v>
      </c>
      <c r="F166" s="77" t="s">
        <v>344</v>
      </c>
      <c r="G166" s="137">
        <v>28</v>
      </c>
      <c r="H166" s="123" t="s">
        <v>166</v>
      </c>
      <c r="I166" s="132">
        <v>0.22916666666666666</v>
      </c>
    </row>
    <row r="167" spans="1:9" ht="12.75">
      <c r="A167" s="128">
        <v>28</v>
      </c>
      <c r="B167" s="128" t="s">
        <v>166</v>
      </c>
      <c r="C167" s="129">
        <v>0.375</v>
      </c>
      <c r="D167" s="77" t="s">
        <v>347</v>
      </c>
      <c r="E167" s="78" t="s">
        <v>276</v>
      </c>
      <c r="F167" s="77" t="s">
        <v>288</v>
      </c>
      <c r="G167" s="137">
        <v>28</v>
      </c>
      <c r="H167" s="123" t="s">
        <v>166</v>
      </c>
      <c r="I167" s="132">
        <v>0.5625</v>
      </c>
    </row>
    <row r="168" spans="1:9" ht="12.75">
      <c r="A168" s="128">
        <v>28</v>
      </c>
      <c r="B168" s="128" t="s">
        <v>166</v>
      </c>
      <c r="C168" s="129"/>
      <c r="D168" s="83" t="s">
        <v>288</v>
      </c>
      <c r="E168" s="84" t="s">
        <v>276</v>
      </c>
      <c r="F168" s="83" t="s">
        <v>345</v>
      </c>
      <c r="G168" s="137"/>
      <c r="H168" s="123"/>
      <c r="I168" s="132"/>
    </row>
    <row r="169" spans="1:9" ht="12.75">
      <c r="A169" s="128">
        <v>29</v>
      </c>
      <c r="B169" s="128" t="s">
        <v>167</v>
      </c>
      <c r="C169" s="129" t="s">
        <v>365</v>
      </c>
      <c r="D169" s="83" t="s">
        <v>288</v>
      </c>
      <c r="E169" s="84" t="s">
        <v>276</v>
      </c>
      <c r="F169" s="83" t="s">
        <v>346</v>
      </c>
      <c r="G169" s="137"/>
      <c r="H169" s="127"/>
      <c r="I169" s="132"/>
    </row>
    <row r="170" spans="1:9" ht="12.75">
      <c r="A170" s="128">
        <v>29</v>
      </c>
      <c r="B170" s="128" t="s">
        <v>167</v>
      </c>
      <c r="C170" s="129"/>
      <c r="D170" s="83" t="s">
        <v>288</v>
      </c>
      <c r="E170" s="84" t="s">
        <v>276</v>
      </c>
      <c r="F170" s="83" t="s">
        <v>355</v>
      </c>
      <c r="G170" s="137"/>
      <c r="H170" s="127"/>
      <c r="I170" s="132"/>
    </row>
    <row r="171" spans="1:9" ht="12.75">
      <c r="A171" s="128">
        <v>30</v>
      </c>
      <c r="B171" s="128" t="s">
        <v>169</v>
      </c>
      <c r="C171" s="129">
        <v>0.25</v>
      </c>
      <c r="D171" s="77" t="s">
        <v>288</v>
      </c>
      <c r="E171" s="78" t="s">
        <v>276</v>
      </c>
      <c r="F171" s="77" t="s">
        <v>255</v>
      </c>
      <c r="G171" s="137">
        <v>30</v>
      </c>
      <c r="H171" s="123" t="s">
        <v>169</v>
      </c>
      <c r="I171" s="132">
        <v>0.5</v>
      </c>
    </row>
    <row r="172" spans="1:9" ht="12.75">
      <c r="A172" s="128">
        <v>30</v>
      </c>
      <c r="B172" s="128" t="s">
        <v>169</v>
      </c>
      <c r="C172" s="129">
        <v>0.5972222222222222</v>
      </c>
      <c r="D172" s="77" t="s">
        <v>255</v>
      </c>
      <c r="E172" s="78" t="s">
        <v>276</v>
      </c>
      <c r="F172" s="77" t="s">
        <v>256</v>
      </c>
      <c r="G172" s="137">
        <v>30</v>
      </c>
      <c r="H172" s="123" t="s">
        <v>169</v>
      </c>
      <c r="I172" s="132">
        <v>0.8256944444444444</v>
      </c>
    </row>
    <row r="174" spans="1:16" ht="25.5">
      <c r="A174" s="277" t="s">
        <v>513</v>
      </c>
      <c r="B174" s="277"/>
      <c r="C174" s="277"/>
      <c r="D174" s="277"/>
      <c r="E174" s="277"/>
      <c r="F174" s="277"/>
      <c r="G174" s="277"/>
      <c r="H174" s="277"/>
      <c r="I174" s="277"/>
      <c r="J174" s="277"/>
      <c r="K174" s="277"/>
      <c r="L174" s="277"/>
      <c r="M174" s="277"/>
      <c r="N174" s="277"/>
      <c r="O174" s="277"/>
      <c r="P174" s="277"/>
    </row>
    <row r="175" spans="4:13" ht="12.75">
      <c r="D175" s="85" t="s">
        <v>271</v>
      </c>
      <c r="E175" s="86"/>
      <c r="F175" s="85"/>
      <c r="J175" s="86" t="s">
        <v>12</v>
      </c>
      <c r="K175" s="269" t="s">
        <v>297</v>
      </c>
      <c r="L175" s="269"/>
      <c r="M175" s="98" t="s">
        <v>13</v>
      </c>
    </row>
    <row r="176" spans="1:13" ht="12.75">
      <c r="A176" s="128">
        <v>11</v>
      </c>
      <c r="B176" s="128" t="s">
        <v>170</v>
      </c>
      <c r="C176" s="129">
        <v>0.375</v>
      </c>
      <c r="D176" s="79" t="s">
        <v>272</v>
      </c>
      <c r="E176" s="80" t="s">
        <v>276</v>
      </c>
      <c r="F176" s="80" t="s">
        <v>273</v>
      </c>
      <c r="G176" s="137">
        <v>11</v>
      </c>
      <c r="H176" s="123" t="s">
        <v>170</v>
      </c>
      <c r="I176" s="132">
        <v>0.6319444444444444</v>
      </c>
      <c r="J176" s="99">
        <v>635</v>
      </c>
      <c r="K176" s="87"/>
      <c r="L176" s="87" t="s">
        <v>348</v>
      </c>
      <c r="M176" s="108">
        <v>0.2708333333333333</v>
      </c>
    </row>
    <row r="177" spans="1:13" ht="12.75">
      <c r="A177" s="128">
        <v>12</v>
      </c>
      <c r="B177" s="128" t="s">
        <v>163</v>
      </c>
      <c r="C177" s="129"/>
      <c r="D177" s="77" t="s">
        <v>274</v>
      </c>
      <c r="E177" s="78" t="s">
        <v>276</v>
      </c>
      <c r="F177" s="78" t="s">
        <v>275</v>
      </c>
      <c r="G177" s="137"/>
      <c r="H177" s="123"/>
      <c r="I177" s="132"/>
      <c r="J177" s="99">
        <f aca="true" t="shared" si="2" ref="J177:J185">K177/266</f>
        <v>24.06015037593985</v>
      </c>
      <c r="K177" s="87">
        <v>6400</v>
      </c>
      <c r="L177" s="87" t="s">
        <v>188</v>
      </c>
      <c r="M177" s="108">
        <v>0.07291666666666667</v>
      </c>
    </row>
    <row r="178" spans="1:13" ht="12.75">
      <c r="A178" s="128"/>
      <c r="B178" s="128"/>
      <c r="C178" s="129"/>
      <c r="D178" s="77" t="s">
        <v>275</v>
      </c>
      <c r="E178" s="78" t="s">
        <v>276</v>
      </c>
      <c r="F178" s="77" t="s">
        <v>274</v>
      </c>
      <c r="G178" s="137"/>
      <c r="H178" s="123"/>
      <c r="I178" s="132"/>
      <c r="J178" s="99">
        <f t="shared" si="2"/>
        <v>24.06015037593985</v>
      </c>
      <c r="K178" s="87">
        <v>6400</v>
      </c>
      <c r="L178" s="87" t="s">
        <v>188</v>
      </c>
      <c r="M178" s="108">
        <v>0.07291666666666667</v>
      </c>
    </row>
    <row r="179" spans="1:13" ht="12.75">
      <c r="A179" s="128">
        <v>12</v>
      </c>
      <c r="B179" s="128" t="s">
        <v>163</v>
      </c>
      <c r="C179" s="129"/>
      <c r="D179" s="77" t="s">
        <v>274</v>
      </c>
      <c r="E179" s="78" t="s">
        <v>276</v>
      </c>
      <c r="F179" s="77" t="s">
        <v>277</v>
      </c>
      <c r="G179" s="137"/>
      <c r="H179" s="123"/>
      <c r="I179" s="132"/>
      <c r="J179" s="99">
        <f t="shared" si="2"/>
        <v>33.83458646616541</v>
      </c>
      <c r="K179" s="87">
        <v>9000</v>
      </c>
      <c r="L179" s="87" t="s">
        <v>188</v>
      </c>
      <c r="M179" s="87"/>
    </row>
    <row r="180" spans="1:13" ht="12.75">
      <c r="A180" s="128"/>
      <c r="B180" s="128"/>
      <c r="C180" s="129"/>
      <c r="D180" s="77" t="s">
        <v>277</v>
      </c>
      <c r="E180" s="78" t="s">
        <v>276</v>
      </c>
      <c r="F180" s="77" t="s">
        <v>274</v>
      </c>
      <c r="G180" s="137"/>
      <c r="H180" s="123"/>
      <c r="I180" s="132"/>
      <c r="J180" s="99">
        <f t="shared" si="2"/>
        <v>33.83458646616541</v>
      </c>
      <c r="K180" s="87">
        <v>9000</v>
      </c>
      <c r="L180" s="87" t="s">
        <v>188</v>
      </c>
      <c r="M180" s="87"/>
    </row>
    <row r="181" spans="1:13" s="81" customFormat="1" ht="12.75">
      <c r="A181" s="223"/>
      <c r="B181" s="223"/>
      <c r="C181" s="224"/>
      <c r="D181" s="112" t="s">
        <v>278</v>
      </c>
      <c r="E181" s="113"/>
      <c r="F181" s="112" t="s">
        <v>279</v>
      </c>
      <c r="G181" s="228"/>
      <c r="H181" s="229"/>
      <c r="I181" s="230"/>
      <c r="J181" s="225">
        <f t="shared" si="2"/>
        <v>26.31578947368421</v>
      </c>
      <c r="K181" s="223">
        <v>7000</v>
      </c>
      <c r="L181" s="223" t="s">
        <v>188</v>
      </c>
      <c r="M181" s="223"/>
    </row>
    <row r="182" spans="1:13" ht="12.75">
      <c r="A182" s="128">
        <v>13</v>
      </c>
      <c r="B182" s="128" t="s">
        <v>173</v>
      </c>
      <c r="C182" s="129">
        <v>0.5</v>
      </c>
      <c r="D182" s="77" t="s">
        <v>274</v>
      </c>
      <c r="E182" s="78" t="s">
        <v>276</v>
      </c>
      <c r="F182" s="77" t="s">
        <v>168</v>
      </c>
      <c r="G182" s="137">
        <v>14</v>
      </c>
      <c r="H182" s="123" t="s">
        <v>166</v>
      </c>
      <c r="I182" s="132">
        <v>0.4583333333333333</v>
      </c>
      <c r="J182" s="99">
        <f t="shared" si="2"/>
        <v>125.93984962406014</v>
      </c>
      <c r="K182" s="87">
        <v>33500</v>
      </c>
      <c r="L182" s="87" t="s">
        <v>188</v>
      </c>
      <c r="M182" s="108">
        <v>0.9583333333333334</v>
      </c>
    </row>
    <row r="183" spans="1:13" s="81" customFormat="1" ht="12.75">
      <c r="A183" s="223">
        <v>14</v>
      </c>
      <c r="B183" s="223" t="s">
        <v>166</v>
      </c>
      <c r="C183" s="224">
        <v>0.6666666666666666</v>
      </c>
      <c r="D183" s="83" t="s">
        <v>4</v>
      </c>
      <c r="E183" s="84" t="s">
        <v>276</v>
      </c>
      <c r="F183" s="83" t="s">
        <v>280</v>
      </c>
      <c r="G183" s="212">
        <v>14</v>
      </c>
      <c r="H183" s="213" t="s">
        <v>166</v>
      </c>
      <c r="I183" s="214">
        <v>0.875</v>
      </c>
      <c r="J183" s="225">
        <f t="shared" si="2"/>
        <v>30.075187969924812</v>
      </c>
      <c r="K183" s="223">
        <v>8000</v>
      </c>
      <c r="L183" s="223" t="s">
        <v>188</v>
      </c>
      <c r="M183" s="223" t="s">
        <v>349</v>
      </c>
    </row>
    <row r="184" spans="1:13" s="81" customFormat="1" ht="12.75">
      <c r="A184" s="223">
        <v>15</v>
      </c>
      <c r="B184" s="223" t="s">
        <v>167</v>
      </c>
      <c r="C184" s="224">
        <v>0.1875</v>
      </c>
      <c r="D184" s="83" t="s">
        <v>4</v>
      </c>
      <c r="E184" s="84" t="s">
        <v>276</v>
      </c>
      <c r="F184" s="83" t="s">
        <v>281</v>
      </c>
      <c r="G184" s="212">
        <v>15</v>
      </c>
      <c r="H184" s="213" t="s">
        <v>167</v>
      </c>
      <c r="I184" s="214">
        <v>0.5416666666666666</v>
      </c>
      <c r="J184" s="225">
        <f t="shared" si="2"/>
        <v>127.44360902255639</v>
      </c>
      <c r="K184" s="223">
        <v>33900</v>
      </c>
      <c r="L184" s="223" t="s">
        <v>188</v>
      </c>
      <c r="M184" s="223" t="s">
        <v>350</v>
      </c>
    </row>
    <row r="185" spans="1:13" s="81" customFormat="1" ht="12.75">
      <c r="A185" s="223"/>
      <c r="B185" s="223"/>
      <c r="C185" s="224"/>
      <c r="D185" s="83" t="s">
        <v>4</v>
      </c>
      <c r="E185" s="84" t="s">
        <v>276</v>
      </c>
      <c r="F185" s="83" t="s">
        <v>282</v>
      </c>
      <c r="G185" s="212"/>
      <c r="H185" s="213"/>
      <c r="I185" s="214"/>
      <c r="J185" s="225">
        <f t="shared" si="2"/>
        <v>0</v>
      </c>
      <c r="K185" s="223">
        <v>0</v>
      </c>
      <c r="L185" s="223" t="s">
        <v>287</v>
      </c>
      <c r="M185" s="223"/>
    </row>
    <row r="186" spans="1:13" s="81" customFormat="1" ht="12.75">
      <c r="A186" s="223">
        <v>16</v>
      </c>
      <c r="B186" s="223" t="s">
        <v>169</v>
      </c>
      <c r="C186" s="224">
        <v>0.3333333333333333</v>
      </c>
      <c r="D186" s="83" t="s">
        <v>4</v>
      </c>
      <c r="E186" s="84" t="s">
        <v>276</v>
      </c>
      <c r="F186" s="83" t="s">
        <v>284</v>
      </c>
      <c r="G186" s="212">
        <v>18</v>
      </c>
      <c r="H186" s="213" t="s">
        <v>170</v>
      </c>
      <c r="I186" s="214">
        <v>0.625</v>
      </c>
      <c r="J186" s="225">
        <f aca="true" t="shared" si="3" ref="J186:J191">K186*2</f>
        <v>270</v>
      </c>
      <c r="K186" s="223">
        <v>135</v>
      </c>
      <c r="L186" s="223" t="s">
        <v>172</v>
      </c>
      <c r="M186" s="223" t="s">
        <v>352</v>
      </c>
    </row>
    <row r="187" spans="1:13" ht="12.75">
      <c r="A187" s="128">
        <v>18</v>
      </c>
      <c r="B187" s="128" t="s">
        <v>170</v>
      </c>
      <c r="C187" s="129">
        <v>0.7708333333333334</v>
      </c>
      <c r="D187" s="77" t="s">
        <v>284</v>
      </c>
      <c r="E187" s="78" t="s">
        <v>276</v>
      </c>
      <c r="F187" s="77" t="s">
        <v>285</v>
      </c>
      <c r="G187" s="137">
        <v>19</v>
      </c>
      <c r="H187" s="123" t="s">
        <v>163</v>
      </c>
      <c r="I187" s="132">
        <v>0.020833333333333332</v>
      </c>
      <c r="J187" s="99">
        <f t="shared" si="3"/>
        <v>13</v>
      </c>
      <c r="K187" s="87">
        <v>6.5</v>
      </c>
      <c r="L187" s="87" t="s">
        <v>172</v>
      </c>
      <c r="M187" s="108">
        <v>0.25</v>
      </c>
    </row>
    <row r="188" spans="1:13" ht="12.75">
      <c r="A188" s="128">
        <v>19</v>
      </c>
      <c r="B188" s="128" t="s">
        <v>163</v>
      </c>
      <c r="C188" s="129">
        <v>0.7083333333333334</v>
      </c>
      <c r="D188" s="77" t="s">
        <v>285</v>
      </c>
      <c r="E188" s="78" t="s">
        <v>276</v>
      </c>
      <c r="F188" s="77" t="s">
        <v>175</v>
      </c>
      <c r="G188" s="137">
        <v>20</v>
      </c>
      <c r="H188" s="123" t="s">
        <v>173</v>
      </c>
      <c r="I188" s="132">
        <v>0.041666666666666664</v>
      </c>
      <c r="J188" s="99">
        <f t="shared" si="3"/>
        <v>19.98</v>
      </c>
      <c r="K188" s="87">
        <v>9.99</v>
      </c>
      <c r="L188" s="87" t="s">
        <v>172</v>
      </c>
      <c r="M188" s="108">
        <v>0.3333333333333333</v>
      </c>
    </row>
    <row r="189" spans="1:13" ht="12.75">
      <c r="A189" s="128">
        <v>20</v>
      </c>
      <c r="B189" s="128" t="s">
        <v>173</v>
      </c>
      <c r="C189" s="129">
        <v>0.25</v>
      </c>
      <c r="D189" s="77" t="s">
        <v>175</v>
      </c>
      <c r="E189" s="78" t="s">
        <v>276</v>
      </c>
      <c r="F189" s="77" t="s">
        <v>286</v>
      </c>
      <c r="G189" s="137">
        <v>20</v>
      </c>
      <c r="H189" s="123" t="s">
        <v>173</v>
      </c>
      <c r="I189" s="132">
        <v>0.375</v>
      </c>
      <c r="J189" s="99">
        <f t="shared" si="3"/>
        <v>7</v>
      </c>
      <c r="K189" s="87">
        <v>3.5</v>
      </c>
      <c r="L189" s="87" t="s">
        <v>172</v>
      </c>
      <c r="M189" s="108">
        <v>0.125</v>
      </c>
    </row>
    <row r="190" spans="1:13" ht="12.75">
      <c r="A190" s="128">
        <v>20</v>
      </c>
      <c r="B190" s="128" t="s">
        <v>173</v>
      </c>
      <c r="C190" s="129">
        <v>0.5208333333333334</v>
      </c>
      <c r="D190" s="77" t="s">
        <v>179</v>
      </c>
      <c r="E190" s="78" t="s">
        <v>276</v>
      </c>
      <c r="F190" s="77" t="s">
        <v>175</v>
      </c>
      <c r="G190" s="137">
        <v>20</v>
      </c>
      <c r="H190" s="123" t="s">
        <v>173</v>
      </c>
      <c r="I190" s="132">
        <v>0.6458333333333334</v>
      </c>
      <c r="J190" s="99">
        <f t="shared" si="3"/>
        <v>7</v>
      </c>
      <c r="K190" s="87">
        <v>3.5</v>
      </c>
      <c r="L190" s="87" t="s">
        <v>172</v>
      </c>
      <c r="M190" s="108">
        <v>0.125</v>
      </c>
    </row>
    <row r="191" spans="1:13" ht="12.75">
      <c r="A191" s="128">
        <v>21</v>
      </c>
      <c r="B191" s="128" t="s">
        <v>166</v>
      </c>
      <c r="C191" s="129">
        <v>0.3333333333333333</v>
      </c>
      <c r="D191" s="77" t="s">
        <v>175</v>
      </c>
      <c r="E191" s="78" t="s">
        <v>276</v>
      </c>
      <c r="F191" s="77" t="s">
        <v>176</v>
      </c>
      <c r="G191" s="137">
        <v>21</v>
      </c>
      <c r="H191" s="123" t="s">
        <v>166</v>
      </c>
      <c r="I191" s="132">
        <v>0.4791666666666667</v>
      </c>
      <c r="J191" s="99">
        <f t="shared" si="3"/>
        <v>4</v>
      </c>
      <c r="K191" s="87">
        <v>2</v>
      </c>
      <c r="L191" s="87" t="s">
        <v>172</v>
      </c>
      <c r="M191" s="108">
        <v>0.14583333333333334</v>
      </c>
    </row>
    <row r="192" spans="1:13" ht="12.75">
      <c r="A192" s="128">
        <v>21</v>
      </c>
      <c r="B192" s="128" t="s">
        <v>166</v>
      </c>
      <c r="C192" s="129">
        <v>0.5416666666666666</v>
      </c>
      <c r="D192" s="77" t="s">
        <v>176</v>
      </c>
      <c r="E192" s="78" t="s">
        <v>276</v>
      </c>
      <c r="F192" s="77" t="s">
        <v>290</v>
      </c>
      <c r="G192" s="137"/>
      <c r="H192" s="123"/>
      <c r="I192" s="132">
        <v>0.6666666666666666</v>
      </c>
      <c r="J192" s="99">
        <f>K192/3.2</f>
        <v>1.5625</v>
      </c>
      <c r="K192" s="87">
        <v>5</v>
      </c>
      <c r="L192" s="87" t="s">
        <v>260</v>
      </c>
      <c r="M192" s="87"/>
    </row>
    <row r="193" spans="1:13" s="81" customFormat="1" ht="12.75">
      <c r="A193" s="223"/>
      <c r="B193" s="223"/>
      <c r="C193" s="224"/>
      <c r="E193" s="82"/>
      <c r="F193" s="83" t="s">
        <v>291</v>
      </c>
      <c r="G193" s="212"/>
      <c r="H193" s="213"/>
      <c r="I193" s="214"/>
      <c r="J193" s="225">
        <f>K193/3.2</f>
        <v>12.5</v>
      </c>
      <c r="K193" s="223">
        <v>40</v>
      </c>
      <c r="L193" s="223" t="s">
        <v>260</v>
      </c>
      <c r="M193" s="223"/>
    </row>
    <row r="194" spans="1:13" ht="12.75">
      <c r="A194" s="128"/>
      <c r="B194" s="128"/>
      <c r="C194" s="129"/>
      <c r="D194" s="77" t="s">
        <v>289</v>
      </c>
      <c r="E194" s="78" t="s">
        <v>276</v>
      </c>
      <c r="F194" s="77" t="s">
        <v>176</v>
      </c>
      <c r="G194" s="139"/>
      <c r="H194" s="126"/>
      <c r="I194" s="134"/>
      <c r="J194" s="99">
        <f>K194/3.2</f>
        <v>1.5625</v>
      </c>
      <c r="K194" s="87">
        <v>5</v>
      </c>
      <c r="L194" s="87" t="s">
        <v>260</v>
      </c>
      <c r="M194" s="87"/>
    </row>
    <row r="195" spans="1:13" ht="12.75">
      <c r="A195" s="128">
        <v>22</v>
      </c>
      <c r="B195" s="128" t="s">
        <v>167</v>
      </c>
      <c r="C195" s="129">
        <v>0.25</v>
      </c>
      <c r="D195" s="77" t="s">
        <v>176</v>
      </c>
      <c r="E195" s="78" t="s">
        <v>276</v>
      </c>
      <c r="F195" s="77" t="s">
        <v>177</v>
      </c>
      <c r="G195" s="137"/>
      <c r="H195" s="123"/>
      <c r="I195" s="132">
        <v>0.3541666666666667</v>
      </c>
      <c r="J195" s="99">
        <f>K195*2</f>
        <v>7.8</v>
      </c>
      <c r="K195" s="87">
        <v>3.9</v>
      </c>
      <c r="L195" s="87" t="s">
        <v>172</v>
      </c>
      <c r="M195" s="108">
        <v>0.10416666666666667</v>
      </c>
    </row>
    <row r="196" spans="1:13" s="81" customFormat="1" ht="12.75">
      <c r="A196" s="223">
        <v>22</v>
      </c>
      <c r="B196" s="223" t="s">
        <v>167</v>
      </c>
      <c r="C196" s="224" t="s">
        <v>353</v>
      </c>
      <c r="D196" s="83" t="s">
        <v>177</v>
      </c>
      <c r="E196" s="84" t="s">
        <v>276</v>
      </c>
      <c r="F196" s="83" t="s">
        <v>292</v>
      </c>
      <c r="G196" s="212"/>
      <c r="H196" s="213"/>
      <c r="I196" s="214"/>
      <c r="J196" s="225">
        <f>K196/1.4</f>
        <v>11.428571428571429</v>
      </c>
      <c r="K196" s="223">
        <v>16</v>
      </c>
      <c r="L196" s="223" t="s">
        <v>185</v>
      </c>
      <c r="M196" s="223" t="s">
        <v>353</v>
      </c>
    </row>
    <row r="197" spans="1:13" s="81" customFormat="1" ht="12.75">
      <c r="A197" s="223">
        <v>23</v>
      </c>
      <c r="B197" s="223" t="s">
        <v>169</v>
      </c>
      <c r="C197" s="224" t="s">
        <v>507</v>
      </c>
      <c r="D197" s="83" t="s">
        <v>177</v>
      </c>
      <c r="E197" s="84" t="s">
        <v>276</v>
      </c>
      <c r="F197" s="83" t="s">
        <v>293</v>
      </c>
      <c r="G197" s="227"/>
      <c r="H197" s="223"/>
      <c r="I197" s="224"/>
      <c r="J197" s="225">
        <f>K197/1.4</f>
        <v>25</v>
      </c>
      <c r="K197" s="223">
        <v>35</v>
      </c>
      <c r="L197" s="223" t="s">
        <v>185</v>
      </c>
      <c r="M197" s="223" t="s">
        <v>354</v>
      </c>
    </row>
    <row r="198" spans="1:13" ht="12.75">
      <c r="A198" s="128">
        <v>24</v>
      </c>
      <c r="B198" s="128" t="s">
        <v>363</v>
      </c>
      <c r="C198" s="129">
        <v>0.3958333333333333</v>
      </c>
      <c r="D198" s="77" t="s">
        <v>177</v>
      </c>
      <c r="E198" s="78" t="s">
        <v>276</v>
      </c>
      <c r="F198" s="77" t="s">
        <v>175</v>
      </c>
      <c r="G198" s="137"/>
      <c r="H198" s="123"/>
      <c r="I198" s="132">
        <v>0.6041666666666666</v>
      </c>
      <c r="J198" s="99">
        <f>K198/1.4</f>
        <v>35.714285714285715</v>
      </c>
      <c r="K198" s="87">
        <v>50</v>
      </c>
      <c r="L198" s="87" t="s">
        <v>185</v>
      </c>
      <c r="M198" s="108">
        <v>0.20833333333333334</v>
      </c>
    </row>
    <row r="199" spans="1:13" ht="12.75">
      <c r="A199" s="128">
        <v>24</v>
      </c>
      <c r="B199" s="128" t="s">
        <v>363</v>
      </c>
      <c r="C199" s="129">
        <v>0.6875</v>
      </c>
      <c r="D199" s="77" t="s">
        <v>175</v>
      </c>
      <c r="E199" s="78" t="s">
        <v>276</v>
      </c>
      <c r="F199" s="77" t="s">
        <v>294</v>
      </c>
      <c r="G199" s="137">
        <v>25</v>
      </c>
      <c r="H199" s="123" t="s">
        <v>170</v>
      </c>
      <c r="I199" s="132">
        <f>C199+M199</f>
        <v>1.3958333333333335</v>
      </c>
      <c r="J199" s="99">
        <f>K199*2</f>
        <v>19.98</v>
      </c>
      <c r="K199" s="87">
        <v>9.99</v>
      </c>
      <c r="L199" s="87" t="s">
        <v>172</v>
      </c>
      <c r="M199" s="108">
        <v>0.7083333333333334</v>
      </c>
    </row>
    <row r="200" spans="1:13" ht="12.75">
      <c r="A200" s="128">
        <v>25</v>
      </c>
      <c r="B200" s="128" t="s">
        <v>170</v>
      </c>
      <c r="C200" s="129">
        <v>0.7916666666666666</v>
      </c>
      <c r="D200" s="77" t="s">
        <v>180</v>
      </c>
      <c r="E200" s="78" t="s">
        <v>276</v>
      </c>
      <c r="F200" s="77" t="s">
        <v>254</v>
      </c>
      <c r="G200" s="137">
        <v>26</v>
      </c>
      <c r="H200" s="123" t="s">
        <v>163</v>
      </c>
      <c r="I200" s="132">
        <v>0.3611111111111111</v>
      </c>
      <c r="J200" s="99">
        <f>K200/3.2</f>
        <v>35.9375</v>
      </c>
      <c r="K200" s="87">
        <v>115</v>
      </c>
      <c r="L200" s="87" t="s">
        <v>260</v>
      </c>
      <c r="M200" s="108">
        <v>0.8055555555555555</v>
      </c>
    </row>
    <row r="201" spans="1:13" ht="12.75">
      <c r="A201" s="128"/>
      <c r="B201" s="128"/>
      <c r="C201" s="129"/>
      <c r="D201" s="77" t="s">
        <v>295</v>
      </c>
      <c r="E201" s="78" t="s">
        <v>276</v>
      </c>
      <c r="F201" s="77" t="s">
        <v>255</v>
      </c>
      <c r="G201" s="137"/>
      <c r="H201" s="123"/>
      <c r="I201" s="132"/>
      <c r="J201" s="99">
        <v>3</v>
      </c>
      <c r="K201" s="87"/>
      <c r="L201" s="87" t="s">
        <v>348</v>
      </c>
      <c r="M201" s="108"/>
    </row>
    <row r="202" spans="1:13" ht="12.75">
      <c r="A202" s="128">
        <v>26</v>
      </c>
      <c r="B202" s="128" t="s">
        <v>163</v>
      </c>
      <c r="C202" s="129">
        <v>0.5833333333333334</v>
      </c>
      <c r="D202" s="77" t="s">
        <v>255</v>
      </c>
      <c r="E202" s="78"/>
      <c r="F202" s="77" t="s">
        <v>288</v>
      </c>
      <c r="G202" s="137">
        <v>26</v>
      </c>
      <c r="H202" s="123" t="s">
        <v>163</v>
      </c>
      <c r="I202" s="132">
        <v>0.8333333333333334</v>
      </c>
      <c r="J202" s="99">
        <v>60</v>
      </c>
      <c r="K202" s="87"/>
      <c r="L202" s="87" t="s">
        <v>348</v>
      </c>
      <c r="M202" s="87"/>
    </row>
    <row r="203" spans="1:13" s="81" customFormat="1" ht="12.75">
      <c r="A203" s="223">
        <v>27</v>
      </c>
      <c r="B203" s="223" t="s">
        <v>173</v>
      </c>
      <c r="C203" s="224"/>
      <c r="D203" s="83" t="s">
        <v>288</v>
      </c>
      <c r="E203" s="84" t="s">
        <v>276</v>
      </c>
      <c r="F203" s="83" t="s">
        <v>508</v>
      </c>
      <c r="G203" s="212"/>
      <c r="H203" s="213"/>
      <c r="I203" s="214"/>
      <c r="J203" s="225">
        <v>25</v>
      </c>
      <c r="K203" s="223"/>
      <c r="L203" s="223" t="s">
        <v>348</v>
      </c>
      <c r="M203" s="213" t="s">
        <v>356</v>
      </c>
    </row>
    <row r="204" spans="1:13" s="81" customFormat="1" ht="12.75">
      <c r="A204" s="223">
        <v>27</v>
      </c>
      <c r="B204" s="223" t="s">
        <v>173</v>
      </c>
      <c r="C204" s="224"/>
      <c r="D204" s="83" t="s">
        <v>288</v>
      </c>
      <c r="E204" s="84" t="s">
        <v>276</v>
      </c>
      <c r="F204" s="83" t="s">
        <v>346</v>
      </c>
      <c r="G204" s="226"/>
      <c r="H204" s="215"/>
      <c r="I204" s="213"/>
      <c r="J204" s="226">
        <v>38</v>
      </c>
      <c r="K204" s="215" t="s">
        <v>358</v>
      </c>
      <c r="L204" s="223" t="s">
        <v>348</v>
      </c>
      <c r="M204" s="213" t="s">
        <v>356</v>
      </c>
    </row>
    <row r="205" spans="1:13" s="81" customFormat="1" ht="12.75">
      <c r="A205" s="223">
        <v>28</v>
      </c>
      <c r="B205" s="223" t="s">
        <v>166</v>
      </c>
      <c r="C205" s="224">
        <v>0.3958333333333333</v>
      </c>
      <c r="D205" s="83" t="s">
        <v>288</v>
      </c>
      <c r="E205" s="84" t="s">
        <v>276</v>
      </c>
      <c r="F205" s="83" t="s">
        <v>355</v>
      </c>
      <c r="G205" s="226"/>
      <c r="H205" s="215"/>
      <c r="I205" s="213"/>
      <c r="J205" s="226">
        <v>88</v>
      </c>
      <c r="K205" s="215" t="s">
        <v>357</v>
      </c>
      <c r="L205" s="223" t="s">
        <v>348</v>
      </c>
      <c r="M205" s="213" t="s">
        <v>351</v>
      </c>
    </row>
    <row r="206" spans="1:13" ht="12.75">
      <c r="A206" s="128">
        <v>29</v>
      </c>
      <c r="B206" s="128" t="s">
        <v>167</v>
      </c>
      <c r="C206" s="129">
        <v>0.25</v>
      </c>
      <c r="D206" s="77" t="s">
        <v>288</v>
      </c>
      <c r="E206" s="77" t="s">
        <v>276</v>
      </c>
      <c r="F206" s="77" t="s">
        <v>255</v>
      </c>
      <c r="G206" s="137">
        <v>29</v>
      </c>
      <c r="H206" s="123" t="s">
        <v>167</v>
      </c>
      <c r="I206" s="132">
        <v>0.5</v>
      </c>
      <c r="J206" s="99">
        <v>60</v>
      </c>
      <c r="K206" s="87"/>
      <c r="L206" s="87" t="s">
        <v>348</v>
      </c>
      <c r="M206" s="108"/>
    </row>
    <row r="207" spans="1:13" ht="12.75">
      <c r="A207" s="128">
        <v>29</v>
      </c>
      <c r="B207" s="128" t="s">
        <v>167</v>
      </c>
      <c r="C207" s="129">
        <v>0.5</v>
      </c>
      <c r="D207" s="77" t="s">
        <v>255</v>
      </c>
      <c r="E207" s="77" t="s">
        <v>276</v>
      </c>
      <c r="F207" s="77" t="s">
        <v>261</v>
      </c>
      <c r="G207" s="137"/>
      <c r="H207" s="123"/>
      <c r="I207" s="132"/>
      <c r="J207" s="99"/>
      <c r="K207" s="87"/>
      <c r="L207" s="87"/>
      <c r="M207" s="108"/>
    </row>
    <row r="208" spans="1:13" ht="12.75">
      <c r="A208" s="128">
        <v>30</v>
      </c>
      <c r="B208" s="128" t="s">
        <v>169</v>
      </c>
      <c r="C208" s="129">
        <v>0.5972222222222222</v>
      </c>
      <c r="D208" s="77" t="s">
        <v>255</v>
      </c>
      <c r="E208" s="77" t="s">
        <v>276</v>
      </c>
      <c r="F208" s="211" t="s">
        <v>415</v>
      </c>
      <c r="G208" s="123">
        <v>30</v>
      </c>
      <c r="H208" s="123" t="s">
        <v>169</v>
      </c>
      <c r="I208" s="132">
        <v>0.8256944444444444</v>
      </c>
      <c r="J208" s="99">
        <v>254.42</v>
      </c>
      <c r="K208" s="87"/>
      <c r="L208" s="87" t="s">
        <v>348</v>
      </c>
      <c r="M208" s="108">
        <v>0.22916666666666666</v>
      </c>
    </row>
    <row r="209" spans="1:13" ht="12.75">
      <c r="A209" s="128"/>
      <c r="B209" s="128"/>
      <c r="C209" s="129"/>
      <c r="D209" s="77"/>
      <c r="E209" s="77"/>
      <c r="F209" s="77"/>
      <c r="G209" s="137"/>
      <c r="H209" s="127"/>
      <c r="I209" s="137"/>
      <c r="J209" s="99"/>
      <c r="K209" s="87"/>
      <c r="L209" s="87"/>
      <c r="M209" s="108"/>
    </row>
    <row r="210" spans="1:13" ht="12.75">
      <c r="A210" s="128"/>
      <c r="B210" s="128"/>
      <c r="C210" s="129"/>
      <c r="D210" s="77"/>
      <c r="E210" s="77"/>
      <c r="F210" s="77"/>
      <c r="G210" s="137"/>
      <c r="H210" s="127"/>
      <c r="I210" s="132"/>
      <c r="J210" s="99"/>
      <c r="K210" s="87"/>
      <c r="L210" s="87"/>
      <c r="M210" s="108"/>
    </row>
    <row r="211" spans="1:13" ht="12.75">
      <c r="A211" s="128"/>
      <c r="B211" s="128"/>
      <c r="C211" s="129"/>
      <c r="D211" s="77"/>
      <c r="E211" s="77"/>
      <c r="F211" s="77"/>
      <c r="G211" s="137"/>
      <c r="H211" s="123"/>
      <c r="I211" s="132"/>
      <c r="J211" s="99"/>
      <c r="K211" s="87"/>
      <c r="L211" s="87"/>
      <c r="M211" s="108"/>
    </row>
    <row r="212" spans="1:13" ht="12.75">
      <c r="A212" s="128"/>
      <c r="B212" s="128"/>
      <c r="C212" s="129"/>
      <c r="D212" s="77"/>
      <c r="E212" s="77"/>
      <c r="F212" s="77"/>
      <c r="G212" s="137"/>
      <c r="H212" s="123"/>
      <c r="I212" s="132"/>
      <c r="J212" s="99"/>
      <c r="K212" s="87"/>
      <c r="L212" s="87"/>
      <c r="M212" s="108"/>
    </row>
    <row r="213" spans="10:12" ht="12.75">
      <c r="J213" s="135"/>
      <c r="L213" s="130"/>
    </row>
    <row r="214" spans="10:12" ht="12.75">
      <c r="J214" s="135"/>
      <c r="L214" s="130"/>
    </row>
    <row r="215" spans="6:12" ht="12.75">
      <c r="F215" t="s">
        <v>259</v>
      </c>
      <c r="G215" s="135" t="s">
        <v>509</v>
      </c>
      <c r="H215" s="76">
        <f>SUM(J183:J184,J193,J196:J197,J203:J205,J207)</f>
        <v>357.4473684210526</v>
      </c>
      <c r="J215" s="135"/>
      <c r="L215" s="130"/>
    </row>
    <row r="216" spans="3:12" ht="12.75">
      <c r="C216" s="216"/>
      <c r="D216" s="217"/>
      <c r="E216" s="218"/>
      <c r="F216" s="217"/>
      <c r="G216" s="219" t="s">
        <v>172</v>
      </c>
      <c r="H216" s="142">
        <f>K186</f>
        <v>135</v>
      </c>
      <c r="I216" s="220"/>
      <c r="J216" s="76"/>
      <c r="L216" s="130"/>
    </row>
    <row r="217" spans="3:12" ht="12.75">
      <c r="C217" s="216"/>
      <c r="D217" s="217"/>
      <c r="E217" s="218"/>
      <c r="F217" s="217"/>
      <c r="G217" s="142" t="s">
        <v>185</v>
      </c>
      <c r="H217" s="142">
        <f>SUM(K196:K197)</f>
        <v>51</v>
      </c>
      <c r="I217" s="220"/>
      <c r="J217" s="76"/>
      <c r="L217" s="130"/>
    </row>
    <row r="218" spans="3:12" ht="12.75">
      <c r="C218" s="216"/>
      <c r="D218" s="217"/>
      <c r="E218" s="218"/>
      <c r="F218" s="217"/>
      <c r="G218" s="219" t="s">
        <v>260</v>
      </c>
      <c r="H218" s="221">
        <f>K193</f>
        <v>40</v>
      </c>
      <c r="I218" s="219"/>
      <c r="J218" s="76"/>
      <c r="L218" s="130"/>
    </row>
    <row r="219" spans="3:12" ht="12.75">
      <c r="C219" s="216"/>
      <c r="D219" s="217"/>
      <c r="E219" s="218"/>
      <c r="F219" s="217"/>
      <c r="G219" s="219" t="s">
        <v>348</v>
      </c>
      <c r="H219" s="222">
        <f>J203+J204+J205+J207</f>
        <v>151</v>
      </c>
      <c r="I219" s="220"/>
      <c r="J219" s="76"/>
      <c r="L219" s="130"/>
    </row>
    <row r="220" spans="3:12" ht="12.75">
      <c r="C220" s="216"/>
      <c r="D220" s="217"/>
      <c r="E220" s="218"/>
      <c r="F220" s="217"/>
      <c r="G220" s="219" t="s">
        <v>188</v>
      </c>
      <c r="H220" s="142">
        <f>K183+K184</f>
        <v>41900</v>
      </c>
      <c r="I220" s="220"/>
      <c r="J220" s="76"/>
      <c r="L220" s="130"/>
    </row>
    <row r="221" spans="3:12" ht="12.75">
      <c r="C221" s="216"/>
      <c r="D221" s="217"/>
      <c r="E221" s="217"/>
      <c r="F221" s="217"/>
      <c r="G221" s="219"/>
      <c r="H221" s="142"/>
      <c r="I221" s="220"/>
      <c r="J221" s="135"/>
      <c r="L221" s="130"/>
    </row>
    <row r="222" spans="6:12" ht="12.75">
      <c r="F222" t="s">
        <v>510</v>
      </c>
      <c r="G222" s="135" t="s">
        <v>509</v>
      </c>
      <c r="H222" s="76">
        <f>SUM(J177:J180,J182,J187:J191,J195,J198:J202,J206)</f>
        <v>515.1411090225564</v>
      </c>
      <c r="J222" s="135"/>
      <c r="L222" s="130"/>
    </row>
    <row r="223" spans="6:12" ht="12.75">
      <c r="F223" t="s">
        <v>511</v>
      </c>
      <c r="G223" s="135" t="s">
        <v>172</v>
      </c>
      <c r="H223">
        <f>SUM(K187:K191,K195,K199)</f>
        <v>39.38</v>
      </c>
      <c r="J223" s="135"/>
      <c r="L223" s="130"/>
    </row>
    <row r="224" spans="6:12" ht="12.75">
      <c r="F224" t="s">
        <v>512</v>
      </c>
      <c r="G224" s="142" t="s">
        <v>185</v>
      </c>
      <c r="H224">
        <f>K198</f>
        <v>50</v>
      </c>
      <c r="J224" s="135"/>
      <c r="L224" s="130"/>
    </row>
    <row r="225" spans="7:12" ht="12.75">
      <c r="G225" s="219" t="s">
        <v>260</v>
      </c>
      <c r="H225">
        <f>SUM(K200,K193:K194)</f>
        <v>160</v>
      </c>
      <c r="J225" s="135"/>
      <c r="L225" s="130"/>
    </row>
    <row r="226" spans="7:12" ht="12.75">
      <c r="G226" s="219" t="s">
        <v>348</v>
      </c>
      <c r="H226" s="76">
        <f>J206+J202+J201</f>
        <v>123</v>
      </c>
      <c r="J226" s="135"/>
      <c r="L226" s="130"/>
    </row>
    <row r="227" spans="7:12" ht="12.75">
      <c r="G227" s="219" t="s">
        <v>188</v>
      </c>
      <c r="H227">
        <f>SUM(K177:K180,K182)</f>
        <v>64300</v>
      </c>
      <c r="J227" s="135"/>
      <c r="L227" s="130"/>
    </row>
    <row r="228" spans="10:12" ht="12.75">
      <c r="J228" s="135"/>
      <c r="L228" s="130"/>
    </row>
    <row r="229" spans="6:8" ht="12.75">
      <c r="F229" t="s">
        <v>258</v>
      </c>
      <c r="G229" s="135" t="s">
        <v>348</v>
      </c>
      <c r="H229">
        <v>275</v>
      </c>
    </row>
    <row r="231" spans="6:8" ht="12.75">
      <c r="F231" t="s">
        <v>330</v>
      </c>
      <c r="H231">
        <f>18*20</f>
        <v>360</v>
      </c>
    </row>
    <row r="233" spans="6:8" ht="12.75">
      <c r="F233" t="s">
        <v>514</v>
      </c>
      <c r="H233" s="76">
        <f>H229+H222+H215</f>
        <v>1147.588477443609</v>
      </c>
    </row>
    <row r="235" spans="6:8" ht="12.75">
      <c r="F235" t="s">
        <v>515</v>
      </c>
      <c r="H235" s="76">
        <f>H233+H231</f>
        <v>1507.588477443609</v>
      </c>
    </row>
  </sheetData>
  <sheetProtection/>
  <mergeCells count="4">
    <mergeCell ref="M81:N81"/>
    <mergeCell ref="M126:N126"/>
    <mergeCell ref="K175:L175"/>
    <mergeCell ref="A174:P17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G70"/>
  <sheetViews>
    <sheetView zoomScale="75" zoomScaleNormal="75" zoomScalePageLayoutView="0" workbookViewId="0" topLeftCell="A1">
      <selection activeCell="C11" sqref="C11"/>
    </sheetView>
  </sheetViews>
  <sheetFormatPr defaultColWidth="9.140625" defaultRowHeight="12.75"/>
  <cols>
    <col min="1" max="1" width="11.421875" style="0" bestFit="1" customWidth="1"/>
    <col min="2" max="2" width="2.00390625" style="76" bestFit="1" customWidth="1"/>
    <col min="3" max="3" width="23.00390625" style="0" bestFit="1" customWidth="1"/>
    <col min="4" max="4" width="9.57421875" style="76" bestFit="1" customWidth="1"/>
    <col min="5" max="5" width="6.00390625" style="0" bestFit="1" customWidth="1"/>
    <col min="6" max="7" width="7.140625" style="0" customWidth="1"/>
    <col min="11" max="11" width="23.00390625" style="0" bestFit="1" customWidth="1"/>
    <col min="12" max="12" width="7.57421875" style="0" bestFit="1" customWidth="1"/>
    <col min="17" max="17" width="12.8515625" style="0" bestFit="1" customWidth="1"/>
    <col min="18" max="18" width="2.00390625" style="0" bestFit="1" customWidth="1"/>
    <col min="19" max="19" width="23.00390625" style="0" bestFit="1" customWidth="1"/>
    <col min="20" max="20" width="7.8515625" style="0" customWidth="1"/>
    <col min="21" max="21" width="7.57421875" style="0" customWidth="1"/>
    <col min="22" max="22" width="7.421875" style="0" customWidth="1"/>
    <col min="23" max="23" width="8.57421875" style="0" bestFit="1" customWidth="1"/>
    <col min="27" max="27" width="2.00390625" style="0" bestFit="1" customWidth="1"/>
    <col min="28" max="28" width="23.00390625" style="0" bestFit="1" customWidth="1"/>
  </cols>
  <sheetData>
    <row r="2" spans="1:32" ht="12.75">
      <c r="A2" s="85" t="s">
        <v>271</v>
      </c>
      <c r="B2" s="86"/>
      <c r="C2" s="85"/>
      <c r="D2" s="86" t="s">
        <v>12</v>
      </c>
      <c r="E2" s="269" t="s">
        <v>297</v>
      </c>
      <c r="F2" s="269"/>
      <c r="G2" s="98" t="s">
        <v>13</v>
      </c>
      <c r="I2" s="85" t="s">
        <v>271</v>
      </c>
      <c r="J2" s="86"/>
      <c r="K2" s="85"/>
      <c r="L2" s="86" t="s">
        <v>12</v>
      </c>
      <c r="M2" s="269" t="s">
        <v>297</v>
      </c>
      <c r="N2" s="269"/>
      <c r="O2" s="98" t="s">
        <v>13</v>
      </c>
      <c r="Q2" s="85" t="s">
        <v>271</v>
      </c>
      <c r="R2" s="86"/>
      <c r="S2" s="85"/>
      <c r="T2" s="86" t="s">
        <v>12</v>
      </c>
      <c r="U2" s="269" t="s">
        <v>297</v>
      </c>
      <c r="V2" s="269"/>
      <c r="W2" s="98" t="s">
        <v>13</v>
      </c>
      <c r="Z2" s="85" t="s">
        <v>271</v>
      </c>
      <c r="AA2" s="86"/>
      <c r="AB2" s="85"/>
      <c r="AC2" s="86" t="s">
        <v>12</v>
      </c>
      <c r="AD2" s="269" t="s">
        <v>297</v>
      </c>
      <c r="AE2" s="269"/>
      <c r="AF2" s="98" t="s">
        <v>13</v>
      </c>
    </row>
    <row r="3" spans="1:32" ht="12.75">
      <c r="A3" s="79" t="s">
        <v>272</v>
      </c>
      <c r="B3" s="80" t="s">
        <v>276</v>
      </c>
      <c r="C3" s="80" t="s">
        <v>273</v>
      </c>
      <c r="D3" s="99">
        <v>635</v>
      </c>
      <c r="E3" s="87"/>
      <c r="F3" s="87" t="s">
        <v>348</v>
      </c>
      <c r="G3" s="108">
        <v>0.2708333333333333</v>
      </c>
      <c r="I3" s="79" t="s">
        <v>272</v>
      </c>
      <c r="J3" s="80" t="s">
        <v>276</v>
      </c>
      <c r="K3" s="80" t="s">
        <v>273</v>
      </c>
      <c r="L3" s="99">
        <v>635</v>
      </c>
      <c r="M3" s="87"/>
      <c r="N3" s="87" t="s">
        <v>348</v>
      </c>
      <c r="O3" s="108">
        <v>0.2708333333333333</v>
      </c>
      <c r="Q3" s="79" t="s">
        <v>272</v>
      </c>
      <c r="R3" s="80" t="s">
        <v>276</v>
      </c>
      <c r="S3" s="80" t="s">
        <v>273</v>
      </c>
      <c r="T3" s="109">
        <v>635</v>
      </c>
      <c r="U3" s="110"/>
      <c r="V3" s="110" t="s">
        <v>348</v>
      </c>
      <c r="W3" s="111">
        <v>0.2708333333333333</v>
      </c>
      <c r="Z3" s="79" t="s">
        <v>272</v>
      </c>
      <c r="AA3" s="80" t="s">
        <v>276</v>
      </c>
      <c r="AB3" s="80" t="s">
        <v>273</v>
      </c>
      <c r="AC3" s="109">
        <v>635</v>
      </c>
      <c r="AD3" s="110"/>
      <c r="AE3" s="110" t="s">
        <v>348</v>
      </c>
      <c r="AF3" s="111">
        <v>0.2708333333333333</v>
      </c>
    </row>
    <row r="4" spans="1:32" ht="12.75">
      <c r="A4" s="77" t="s">
        <v>516</v>
      </c>
      <c r="B4" s="78" t="s">
        <v>276</v>
      </c>
      <c r="C4" s="78" t="s">
        <v>517</v>
      </c>
      <c r="D4" s="99">
        <f>E4/266</f>
        <v>5.2631578947368425</v>
      </c>
      <c r="E4" s="87">
        <v>1400</v>
      </c>
      <c r="F4" s="87" t="s">
        <v>188</v>
      </c>
      <c r="G4" s="108"/>
      <c r="I4" s="77" t="s">
        <v>274</v>
      </c>
      <c r="J4" s="78" t="s">
        <v>276</v>
      </c>
      <c r="K4" s="78" t="s">
        <v>275</v>
      </c>
      <c r="L4" s="99">
        <f aca="true" t="shared" si="0" ref="L4:L11">M4/266</f>
        <v>24.06015037593985</v>
      </c>
      <c r="M4" s="87">
        <v>6400</v>
      </c>
      <c r="N4" s="87" t="s">
        <v>188</v>
      </c>
      <c r="O4" s="108">
        <v>0.07291666666666667</v>
      </c>
      <c r="Q4" s="77" t="s">
        <v>274</v>
      </c>
      <c r="R4" s="78" t="s">
        <v>276</v>
      </c>
      <c r="S4" s="78" t="s">
        <v>275</v>
      </c>
      <c r="T4" s="109">
        <f aca="true" t="shared" si="1" ref="T4:T11">U4/266</f>
        <v>24.06015037593985</v>
      </c>
      <c r="U4" s="110">
        <v>6400</v>
      </c>
      <c r="V4" s="110" t="s">
        <v>188</v>
      </c>
      <c r="W4" s="111">
        <v>0.07291666666666667</v>
      </c>
      <c r="Z4" s="77" t="s">
        <v>274</v>
      </c>
      <c r="AA4" s="78" t="s">
        <v>276</v>
      </c>
      <c r="AB4" s="78" t="s">
        <v>275</v>
      </c>
      <c r="AC4" s="109">
        <f aca="true" t="shared" si="2" ref="AC4:AC10">AD4/266</f>
        <v>24.06015037593985</v>
      </c>
      <c r="AD4" s="110">
        <v>6400</v>
      </c>
      <c r="AE4" s="110" t="s">
        <v>188</v>
      </c>
      <c r="AF4" s="111">
        <v>0.07291666666666667</v>
      </c>
    </row>
    <row r="5" spans="1:32" ht="12.75">
      <c r="A5" s="77" t="s">
        <v>518</v>
      </c>
      <c r="B5" s="78" t="s">
        <v>276</v>
      </c>
      <c r="C5" s="77" t="s">
        <v>274</v>
      </c>
      <c r="D5" s="99">
        <f>E5/266</f>
        <v>16.165413533834588</v>
      </c>
      <c r="E5" s="87">
        <v>4300</v>
      </c>
      <c r="F5" s="87" t="s">
        <v>188</v>
      </c>
      <c r="G5" s="108"/>
      <c r="I5" s="77" t="s">
        <v>275</v>
      </c>
      <c r="J5" s="78" t="s">
        <v>276</v>
      </c>
      <c r="K5" s="77" t="s">
        <v>274</v>
      </c>
      <c r="L5" s="99">
        <f t="shared" si="0"/>
        <v>24.06015037593985</v>
      </c>
      <c r="M5" s="87">
        <v>6400</v>
      </c>
      <c r="N5" s="87" t="s">
        <v>188</v>
      </c>
      <c r="O5" s="108">
        <v>0.07291666666666667</v>
      </c>
      <c r="Q5" s="77" t="s">
        <v>275</v>
      </c>
      <c r="R5" s="78" t="s">
        <v>276</v>
      </c>
      <c r="S5" s="77" t="s">
        <v>274</v>
      </c>
      <c r="T5" s="109">
        <f t="shared" si="1"/>
        <v>24.06015037593985</v>
      </c>
      <c r="U5" s="110">
        <v>6400</v>
      </c>
      <c r="V5" s="110" t="s">
        <v>188</v>
      </c>
      <c r="W5" s="111">
        <v>0.07291666666666667</v>
      </c>
      <c r="Z5" s="77" t="s">
        <v>275</v>
      </c>
      <c r="AA5" s="78" t="s">
        <v>276</v>
      </c>
      <c r="AB5" s="77" t="s">
        <v>274</v>
      </c>
      <c r="AC5" s="109">
        <f t="shared" si="2"/>
        <v>24.06015037593985</v>
      </c>
      <c r="AD5" s="110">
        <v>6400</v>
      </c>
      <c r="AE5" s="110" t="s">
        <v>188</v>
      </c>
      <c r="AF5" s="111">
        <v>0.07291666666666667</v>
      </c>
    </row>
    <row r="6" spans="1:32" ht="12.75">
      <c r="A6" s="83" t="s">
        <v>278</v>
      </c>
      <c r="B6" s="84"/>
      <c r="C6" s="83" t="s">
        <v>519</v>
      </c>
      <c r="D6" s="99">
        <f aca="true" t="shared" si="3" ref="D6:D11">E6/266</f>
        <v>6.015037593984962</v>
      </c>
      <c r="E6" s="87">
        <v>1600</v>
      </c>
      <c r="F6" s="87" t="s">
        <v>188</v>
      </c>
      <c r="G6" s="87"/>
      <c r="I6" s="83" t="s">
        <v>278</v>
      </c>
      <c r="J6" s="84"/>
      <c r="K6" s="83" t="s">
        <v>279</v>
      </c>
      <c r="L6" s="99">
        <f t="shared" si="0"/>
        <v>26.31578947368421</v>
      </c>
      <c r="M6" s="87">
        <v>7000</v>
      </c>
      <c r="N6" s="87" t="s">
        <v>188</v>
      </c>
      <c r="O6" s="87"/>
      <c r="Q6" s="112" t="s">
        <v>278</v>
      </c>
      <c r="R6" s="113"/>
      <c r="S6" s="112" t="s">
        <v>279</v>
      </c>
      <c r="T6" s="114">
        <f t="shared" si="1"/>
        <v>26.31578947368421</v>
      </c>
      <c r="U6" s="115">
        <v>7000</v>
      </c>
      <c r="V6" s="115" t="s">
        <v>188</v>
      </c>
      <c r="W6" s="115"/>
      <c r="Z6" s="77" t="s">
        <v>274</v>
      </c>
      <c r="AA6" s="78" t="s">
        <v>276</v>
      </c>
      <c r="AB6" s="77" t="s">
        <v>168</v>
      </c>
      <c r="AC6" s="109">
        <f t="shared" si="2"/>
        <v>125.93984962406014</v>
      </c>
      <c r="AD6" s="110">
        <v>33500</v>
      </c>
      <c r="AE6" s="110" t="s">
        <v>188</v>
      </c>
      <c r="AF6" s="111">
        <v>0.9583333333333334</v>
      </c>
    </row>
    <row r="7" spans="1:32" ht="12.75">
      <c r="A7" s="77" t="s">
        <v>274</v>
      </c>
      <c r="B7" s="78" t="s">
        <v>276</v>
      </c>
      <c r="C7" s="77" t="s">
        <v>520</v>
      </c>
      <c r="D7" s="99">
        <f t="shared" si="3"/>
        <v>157.14285714285714</v>
      </c>
      <c r="E7" s="87">
        <v>41800</v>
      </c>
      <c r="F7" s="87" t="s">
        <v>188</v>
      </c>
      <c r="G7" s="108">
        <v>0.9583333333333334</v>
      </c>
      <c r="I7" s="77" t="s">
        <v>274</v>
      </c>
      <c r="J7" s="78" t="s">
        <v>276</v>
      </c>
      <c r="K7" s="77" t="s">
        <v>168</v>
      </c>
      <c r="L7" s="99">
        <f t="shared" si="0"/>
        <v>125.93984962406014</v>
      </c>
      <c r="M7" s="87">
        <v>33500</v>
      </c>
      <c r="N7" s="87" t="s">
        <v>188</v>
      </c>
      <c r="O7" s="108">
        <v>0.9583333333333334</v>
      </c>
      <c r="Q7" s="77" t="s">
        <v>274</v>
      </c>
      <c r="R7" s="78" t="s">
        <v>276</v>
      </c>
      <c r="S7" s="77" t="s">
        <v>168</v>
      </c>
      <c r="T7" s="109">
        <f t="shared" si="1"/>
        <v>125.93984962406014</v>
      </c>
      <c r="U7" s="110">
        <v>33500</v>
      </c>
      <c r="V7" s="110" t="s">
        <v>188</v>
      </c>
      <c r="W7" s="111">
        <v>0.9583333333333334</v>
      </c>
      <c r="Z7" s="83" t="s">
        <v>4</v>
      </c>
      <c r="AA7" s="84" t="s">
        <v>276</v>
      </c>
      <c r="AB7" s="83" t="s">
        <v>280</v>
      </c>
      <c r="AC7" s="109">
        <f t="shared" si="2"/>
        <v>30.075187969924812</v>
      </c>
      <c r="AD7" s="110">
        <v>8000</v>
      </c>
      <c r="AE7" s="110" t="s">
        <v>188</v>
      </c>
      <c r="AF7" s="110" t="s">
        <v>349</v>
      </c>
    </row>
    <row r="8" spans="1:32" ht="12.75">
      <c r="A8" s="83" t="s">
        <v>4</v>
      </c>
      <c r="B8" s="84" t="s">
        <v>276</v>
      </c>
      <c r="C8" s="83" t="s">
        <v>523</v>
      </c>
      <c r="D8" s="99">
        <f t="shared" si="3"/>
        <v>52.63157894736842</v>
      </c>
      <c r="E8" s="87">
        <v>14000</v>
      </c>
      <c r="F8" s="87" t="s">
        <v>188</v>
      </c>
      <c r="G8" s="87" t="s">
        <v>349</v>
      </c>
      <c r="I8" s="83" t="s">
        <v>4</v>
      </c>
      <c r="J8" s="84" t="s">
        <v>276</v>
      </c>
      <c r="K8" s="83" t="s">
        <v>280</v>
      </c>
      <c r="L8" s="99">
        <f t="shared" si="0"/>
        <v>30.075187969924812</v>
      </c>
      <c r="M8" s="87">
        <v>8000</v>
      </c>
      <c r="N8" s="87" t="s">
        <v>188</v>
      </c>
      <c r="O8" s="87" t="s">
        <v>349</v>
      </c>
      <c r="Q8" s="83" t="s">
        <v>4</v>
      </c>
      <c r="R8" s="84" t="s">
        <v>276</v>
      </c>
      <c r="S8" s="83" t="s">
        <v>280</v>
      </c>
      <c r="T8" s="109">
        <f t="shared" si="1"/>
        <v>30.075187969924812</v>
      </c>
      <c r="U8" s="110">
        <v>8000</v>
      </c>
      <c r="V8" s="110" t="s">
        <v>188</v>
      </c>
      <c r="W8" s="110" t="s">
        <v>349</v>
      </c>
      <c r="Z8" s="83" t="s">
        <v>4</v>
      </c>
      <c r="AA8" s="84" t="s">
        <v>276</v>
      </c>
      <c r="AB8" s="83" t="s">
        <v>281</v>
      </c>
      <c r="AC8" s="109">
        <f t="shared" si="2"/>
        <v>127.44360902255639</v>
      </c>
      <c r="AD8" s="110">
        <v>33900</v>
      </c>
      <c r="AE8" s="110" t="s">
        <v>188</v>
      </c>
      <c r="AF8" s="110" t="s">
        <v>350</v>
      </c>
    </row>
    <row r="9" spans="1:32" ht="12.75">
      <c r="A9" s="83" t="s">
        <v>4</v>
      </c>
      <c r="B9" s="84" t="s">
        <v>276</v>
      </c>
      <c r="C9" s="83" t="s">
        <v>522</v>
      </c>
      <c r="D9" s="99">
        <f t="shared" si="3"/>
        <v>73.30827067669173</v>
      </c>
      <c r="E9" s="87">
        <v>19500</v>
      </c>
      <c r="F9" s="87" t="s">
        <v>188</v>
      </c>
      <c r="G9" s="87" t="s">
        <v>350</v>
      </c>
      <c r="I9" s="83" t="s">
        <v>4</v>
      </c>
      <c r="J9" s="84" t="s">
        <v>276</v>
      </c>
      <c r="K9" s="83" t="s">
        <v>281</v>
      </c>
      <c r="L9" s="99">
        <f t="shared" si="0"/>
        <v>127.44360902255639</v>
      </c>
      <c r="M9" s="87">
        <v>33900</v>
      </c>
      <c r="N9" s="87" t="s">
        <v>188</v>
      </c>
      <c r="O9" s="87" t="s">
        <v>350</v>
      </c>
      <c r="Q9" s="83" t="s">
        <v>4</v>
      </c>
      <c r="R9" s="84" t="s">
        <v>276</v>
      </c>
      <c r="S9" s="83" t="s">
        <v>281</v>
      </c>
      <c r="T9" s="109">
        <f t="shared" si="1"/>
        <v>127.44360902255639</v>
      </c>
      <c r="U9" s="110">
        <v>33900</v>
      </c>
      <c r="V9" s="110" t="s">
        <v>188</v>
      </c>
      <c r="W9" s="110" t="s">
        <v>350</v>
      </c>
      <c r="Z9" s="83" t="s">
        <v>4</v>
      </c>
      <c r="AA9" s="84" t="s">
        <v>276</v>
      </c>
      <c r="AB9" s="83" t="s">
        <v>282</v>
      </c>
      <c r="AC9" s="109">
        <f t="shared" si="2"/>
        <v>0</v>
      </c>
      <c r="AD9" s="110">
        <v>0</v>
      </c>
      <c r="AE9" s="110" t="s">
        <v>287</v>
      </c>
      <c r="AF9" s="110"/>
    </row>
    <row r="10" spans="1:32" ht="12.75">
      <c r="A10" s="83" t="s">
        <v>4</v>
      </c>
      <c r="B10" s="84" t="s">
        <v>276</v>
      </c>
      <c r="C10" s="83" t="s">
        <v>521</v>
      </c>
      <c r="D10" s="99">
        <f>E10/266</f>
        <v>45.11278195488722</v>
      </c>
      <c r="E10" s="87">
        <v>12000</v>
      </c>
      <c r="F10" s="87" t="s">
        <v>188</v>
      </c>
      <c r="G10" s="87"/>
      <c r="I10" s="83" t="s">
        <v>4</v>
      </c>
      <c r="J10" s="84" t="s">
        <v>276</v>
      </c>
      <c r="K10" s="83" t="s">
        <v>282</v>
      </c>
      <c r="L10" s="99">
        <f t="shared" si="0"/>
        <v>0</v>
      </c>
      <c r="M10" s="87">
        <v>0</v>
      </c>
      <c r="N10" s="87" t="s">
        <v>287</v>
      </c>
      <c r="O10" s="87"/>
      <c r="Q10" s="83" t="s">
        <v>4</v>
      </c>
      <c r="R10" s="84" t="s">
        <v>276</v>
      </c>
      <c r="S10" s="83" t="s">
        <v>282</v>
      </c>
      <c r="T10" s="109">
        <f t="shared" si="1"/>
        <v>0</v>
      </c>
      <c r="U10" s="110">
        <v>0</v>
      </c>
      <c r="V10" s="110" t="s">
        <v>287</v>
      </c>
      <c r="W10" s="110"/>
      <c r="Z10" s="83" t="s">
        <v>4</v>
      </c>
      <c r="AA10" s="84" t="s">
        <v>276</v>
      </c>
      <c r="AB10" s="83" t="s">
        <v>283</v>
      </c>
      <c r="AC10" s="109">
        <f t="shared" si="2"/>
        <v>112.78195488721805</v>
      </c>
      <c r="AD10" s="110">
        <v>30000</v>
      </c>
      <c r="AE10" s="110" t="s">
        <v>188</v>
      </c>
      <c r="AF10" s="110" t="s">
        <v>351</v>
      </c>
    </row>
    <row r="11" spans="1:32" ht="12.75">
      <c r="A11" s="83" t="s">
        <v>4</v>
      </c>
      <c r="B11" s="84" t="s">
        <v>276</v>
      </c>
      <c r="C11" s="83" t="s">
        <v>283</v>
      </c>
      <c r="D11" s="99">
        <f t="shared" si="3"/>
        <v>112.78195488721805</v>
      </c>
      <c r="E11" s="87">
        <v>30000</v>
      </c>
      <c r="F11" s="87" t="s">
        <v>188</v>
      </c>
      <c r="G11" s="87" t="s">
        <v>351</v>
      </c>
      <c r="I11" s="83" t="s">
        <v>4</v>
      </c>
      <c r="J11" s="84" t="s">
        <v>276</v>
      </c>
      <c r="K11" s="83" t="s">
        <v>283</v>
      </c>
      <c r="L11" s="99">
        <f t="shared" si="0"/>
        <v>112.78195488721805</v>
      </c>
      <c r="M11" s="87">
        <v>30000</v>
      </c>
      <c r="N11" s="87" t="s">
        <v>188</v>
      </c>
      <c r="O11" s="87" t="s">
        <v>351</v>
      </c>
      <c r="Q11" s="83" t="s">
        <v>4</v>
      </c>
      <c r="R11" s="84" t="s">
        <v>276</v>
      </c>
      <c r="S11" s="83" t="s">
        <v>283</v>
      </c>
      <c r="T11" s="109">
        <f t="shared" si="1"/>
        <v>112.78195488721805</v>
      </c>
      <c r="U11" s="110">
        <v>30000</v>
      </c>
      <c r="V11" s="110" t="s">
        <v>188</v>
      </c>
      <c r="W11" s="110" t="s">
        <v>351</v>
      </c>
      <c r="Z11" s="83" t="s">
        <v>4</v>
      </c>
      <c r="AA11" s="84" t="s">
        <v>276</v>
      </c>
      <c r="AB11" s="83" t="s">
        <v>284</v>
      </c>
      <c r="AC11" s="109">
        <f>AD11*2</f>
        <v>270</v>
      </c>
      <c r="AD11" s="110">
        <v>135</v>
      </c>
      <c r="AE11" s="110" t="s">
        <v>172</v>
      </c>
      <c r="AF11" s="110" t="s">
        <v>352</v>
      </c>
    </row>
    <row r="12" spans="1:32" ht="12.75">
      <c r="A12" s="83" t="s">
        <v>4</v>
      </c>
      <c r="B12" s="84" t="s">
        <v>276</v>
      </c>
      <c r="C12" s="83" t="s">
        <v>284</v>
      </c>
      <c r="D12" s="99">
        <f aca="true" t="shared" si="4" ref="D12:D17">E12*2</f>
        <v>270</v>
      </c>
      <c r="E12" s="87">
        <v>135</v>
      </c>
      <c r="F12" s="87" t="s">
        <v>172</v>
      </c>
      <c r="G12" s="87" t="s">
        <v>352</v>
      </c>
      <c r="I12" s="83" t="s">
        <v>4</v>
      </c>
      <c r="J12" s="84" t="s">
        <v>276</v>
      </c>
      <c r="K12" s="83" t="s">
        <v>284</v>
      </c>
      <c r="L12" s="99">
        <f>M12*2</f>
        <v>270</v>
      </c>
      <c r="M12" s="87">
        <v>135</v>
      </c>
      <c r="N12" s="87" t="s">
        <v>172</v>
      </c>
      <c r="O12" s="87" t="s">
        <v>352</v>
      </c>
      <c r="Q12" s="83" t="s">
        <v>4</v>
      </c>
      <c r="R12" s="84" t="s">
        <v>276</v>
      </c>
      <c r="S12" s="83" t="s">
        <v>284</v>
      </c>
      <c r="T12" s="109">
        <f>U12*2</f>
        <v>270</v>
      </c>
      <c r="U12" s="110">
        <v>135</v>
      </c>
      <c r="V12" s="110" t="s">
        <v>172</v>
      </c>
      <c r="W12" s="110" t="s">
        <v>352</v>
      </c>
      <c r="Z12" s="77" t="s">
        <v>284</v>
      </c>
      <c r="AA12" s="78" t="s">
        <v>276</v>
      </c>
      <c r="AB12" s="77" t="s">
        <v>175</v>
      </c>
      <c r="AC12" s="109">
        <f>AD12*2</f>
        <v>13</v>
      </c>
      <c r="AD12" s="110">
        <v>6.5</v>
      </c>
      <c r="AE12" s="110" t="s">
        <v>172</v>
      </c>
      <c r="AF12" s="111">
        <v>0.5833333333333334</v>
      </c>
    </row>
    <row r="13" spans="1:31" ht="12.75">
      <c r="A13" s="77" t="s">
        <v>284</v>
      </c>
      <c r="B13" s="78" t="s">
        <v>276</v>
      </c>
      <c r="C13" s="77" t="s">
        <v>285</v>
      </c>
      <c r="D13" s="99">
        <f t="shared" si="4"/>
        <v>13</v>
      </c>
      <c r="E13" s="87">
        <v>6.5</v>
      </c>
      <c r="F13" s="87" t="s">
        <v>172</v>
      </c>
      <c r="G13" s="108">
        <v>0.25</v>
      </c>
      <c r="I13" s="77" t="s">
        <v>284</v>
      </c>
      <c r="J13" s="78" t="s">
        <v>276</v>
      </c>
      <c r="K13" s="77" t="s">
        <v>175</v>
      </c>
      <c r="L13" s="99">
        <f>M13*2</f>
        <v>13</v>
      </c>
      <c r="M13" s="87">
        <v>6.5</v>
      </c>
      <c r="N13" s="87" t="s">
        <v>172</v>
      </c>
      <c r="O13" s="108">
        <v>0.5833333333333334</v>
      </c>
      <c r="Q13" s="77" t="s">
        <v>284</v>
      </c>
      <c r="R13" s="78" t="s">
        <v>276</v>
      </c>
      <c r="S13" s="77" t="s">
        <v>175</v>
      </c>
      <c r="T13" s="109">
        <f>U13*2</f>
        <v>13</v>
      </c>
      <c r="U13" s="110">
        <v>6.5</v>
      </c>
      <c r="V13" s="110" t="s">
        <v>172</v>
      </c>
      <c r="W13" s="111">
        <v>0.5833333333333334</v>
      </c>
      <c r="Z13" s="77" t="s">
        <v>175</v>
      </c>
      <c r="AA13" s="78" t="s">
        <v>276</v>
      </c>
      <c r="AB13" s="77" t="s">
        <v>177</v>
      </c>
      <c r="AC13" s="109">
        <f aca="true" t="shared" si="5" ref="AC13:AC18">AD13/1.4</f>
        <v>35.714285714285715</v>
      </c>
      <c r="AD13" s="141">
        <v>50</v>
      </c>
      <c r="AE13" s="141" t="s">
        <v>185</v>
      </c>
    </row>
    <row r="14" spans="1:33" ht="12.75">
      <c r="A14" s="77" t="s">
        <v>285</v>
      </c>
      <c r="B14" s="78" t="s">
        <v>276</v>
      </c>
      <c r="C14" s="77" t="s">
        <v>175</v>
      </c>
      <c r="D14" s="99">
        <f t="shared" si="4"/>
        <v>19.98</v>
      </c>
      <c r="E14" s="87">
        <v>9.99</v>
      </c>
      <c r="F14" s="87" t="s">
        <v>172</v>
      </c>
      <c r="G14" s="108">
        <v>0.3333333333333333</v>
      </c>
      <c r="I14" s="77" t="s">
        <v>175</v>
      </c>
      <c r="J14" s="78" t="s">
        <v>276</v>
      </c>
      <c r="K14" s="77" t="s">
        <v>286</v>
      </c>
      <c r="L14" s="99">
        <f>M14*2</f>
        <v>7</v>
      </c>
      <c r="M14" s="87">
        <v>3.5</v>
      </c>
      <c r="N14" s="87" t="s">
        <v>172</v>
      </c>
      <c r="O14" s="108">
        <v>0.125</v>
      </c>
      <c r="Q14" s="77" t="s">
        <v>175</v>
      </c>
      <c r="R14" s="78" t="s">
        <v>276</v>
      </c>
      <c r="S14" s="77" t="s">
        <v>286</v>
      </c>
      <c r="T14" s="109">
        <f>U14*2</f>
        <v>7</v>
      </c>
      <c r="U14" s="110">
        <v>3.5</v>
      </c>
      <c r="V14" s="110" t="s">
        <v>172</v>
      </c>
      <c r="W14" s="111">
        <v>0.125</v>
      </c>
      <c r="Z14" s="121" t="s">
        <v>177</v>
      </c>
      <c r="AA14" s="122" t="s">
        <v>276</v>
      </c>
      <c r="AB14" s="121" t="s">
        <v>338</v>
      </c>
      <c r="AC14" s="109">
        <f t="shared" si="5"/>
        <v>21.42857142857143</v>
      </c>
      <c r="AD14" s="110">
        <v>30</v>
      </c>
      <c r="AE14" s="110" t="s">
        <v>185</v>
      </c>
      <c r="AF14" s="111">
        <v>0.20833333333333334</v>
      </c>
      <c r="AG14" t="s">
        <v>359</v>
      </c>
    </row>
    <row r="15" spans="1:32" ht="12.75">
      <c r="A15" s="77" t="s">
        <v>175</v>
      </c>
      <c r="B15" s="78" t="s">
        <v>276</v>
      </c>
      <c r="C15" s="77" t="s">
        <v>286</v>
      </c>
      <c r="D15" s="99">
        <f t="shared" si="4"/>
        <v>7</v>
      </c>
      <c r="E15" s="87">
        <v>3.5</v>
      </c>
      <c r="F15" s="87" t="s">
        <v>172</v>
      </c>
      <c r="G15" s="108">
        <v>0.125</v>
      </c>
      <c r="I15" s="77" t="s">
        <v>179</v>
      </c>
      <c r="J15" s="78" t="s">
        <v>276</v>
      </c>
      <c r="K15" s="77" t="s">
        <v>175</v>
      </c>
      <c r="L15" s="99">
        <f>M15*2</f>
        <v>7</v>
      </c>
      <c r="M15" s="87">
        <v>3.5</v>
      </c>
      <c r="N15" s="87" t="s">
        <v>172</v>
      </c>
      <c r="O15" s="108">
        <v>0.125</v>
      </c>
      <c r="Q15" s="77" t="s">
        <v>179</v>
      </c>
      <c r="R15" s="78" t="s">
        <v>276</v>
      </c>
      <c r="S15" s="77" t="s">
        <v>175</v>
      </c>
      <c r="T15" s="109">
        <f>U15*2</f>
        <v>7</v>
      </c>
      <c r="U15" s="110">
        <v>3.5</v>
      </c>
      <c r="V15" s="110" t="s">
        <v>172</v>
      </c>
      <c r="W15" s="111">
        <v>0.125</v>
      </c>
      <c r="Z15" s="121" t="s">
        <v>338</v>
      </c>
      <c r="AA15" s="122" t="s">
        <v>276</v>
      </c>
      <c r="AB15" s="121" t="s">
        <v>340</v>
      </c>
      <c r="AC15" s="109">
        <f t="shared" si="5"/>
        <v>4.285714285714286</v>
      </c>
      <c r="AD15" s="110">
        <v>6</v>
      </c>
      <c r="AE15" s="110" t="s">
        <v>185</v>
      </c>
      <c r="AF15" s="111">
        <v>0.013888888888888888</v>
      </c>
    </row>
    <row r="16" spans="1:32" ht="12.75">
      <c r="A16" s="77" t="s">
        <v>179</v>
      </c>
      <c r="B16" s="78" t="s">
        <v>276</v>
      </c>
      <c r="C16" s="77" t="s">
        <v>175</v>
      </c>
      <c r="D16" s="99">
        <f t="shared" si="4"/>
        <v>7</v>
      </c>
      <c r="E16" s="87">
        <v>3.5</v>
      </c>
      <c r="F16" s="87" t="s">
        <v>172</v>
      </c>
      <c r="G16" s="108">
        <v>0.125</v>
      </c>
      <c r="I16" s="81" t="s">
        <v>175</v>
      </c>
      <c r="J16" s="82" t="s">
        <v>276</v>
      </c>
      <c r="K16" s="81" t="s">
        <v>337</v>
      </c>
      <c r="L16" s="87"/>
      <c r="M16" s="87"/>
      <c r="N16" s="87" t="s">
        <v>260</v>
      </c>
      <c r="O16" s="108"/>
      <c r="Q16" s="81" t="s">
        <v>175</v>
      </c>
      <c r="R16" s="82" t="s">
        <v>276</v>
      </c>
      <c r="S16" s="81" t="s">
        <v>337</v>
      </c>
      <c r="T16" s="110"/>
      <c r="U16" s="110"/>
      <c r="V16" s="110" t="s">
        <v>260</v>
      </c>
      <c r="W16" s="111"/>
      <c r="Z16" s="77" t="s">
        <v>340</v>
      </c>
      <c r="AA16" s="78" t="s">
        <v>276</v>
      </c>
      <c r="AB16" s="77" t="s">
        <v>339</v>
      </c>
      <c r="AC16" s="109">
        <f t="shared" si="5"/>
        <v>109.71428571428572</v>
      </c>
      <c r="AD16" s="110">
        <v>153.6</v>
      </c>
      <c r="AE16" s="110" t="s">
        <v>185</v>
      </c>
      <c r="AF16" s="111"/>
    </row>
    <row r="17" spans="1:32" ht="12.75">
      <c r="A17" s="77" t="s">
        <v>175</v>
      </c>
      <c r="B17" s="78" t="s">
        <v>276</v>
      </c>
      <c r="C17" s="77" t="s">
        <v>176</v>
      </c>
      <c r="D17" s="99">
        <f t="shared" si="4"/>
        <v>4</v>
      </c>
      <c r="E17" s="87">
        <v>2</v>
      </c>
      <c r="F17" s="87" t="s">
        <v>172</v>
      </c>
      <c r="G17" s="108">
        <v>0.14583333333333334</v>
      </c>
      <c r="I17" s="77" t="s">
        <v>175</v>
      </c>
      <c r="J17" s="78" t="s">
        <v>276</v>
      </c>
      <c r="K17" s="77" t="s">
        <v>176</v>
      </c>
      <c r="L17" s="99">
        <f>M17*2</f>
        <v>4</v>
      </c>
      <c r="M17" s="87">
        <v>2</v>
      </c>
      <c r="N17" s="87" t="s">
        <v>172</v>
      </c>
      <c r="O17" s="108">
        <v>0.14583333333333334</v>
      </c>
      <c r="Q17" s="77" t="s">
        <v>175</v>
      </c>
      <c r="R17" s="78" t="s">
        <v>276</v>
      </c>
      <c r="S17" s="77" t="s">
        <v>176</v>
      </c>
      <c r="T17" s="109">
        <f>U17*2</f>
        <v>4</v>
      </c>
      <c r="U17" s="110">
        <v>2</v>
      </c>
      <c r="V17" s="110" t="s">
        <v>172</v>
      </c>
      <c r="W17" s="111">
        <v>0.14583333333333334</v>
      </c>
      <c r="Z17" s="77" t="s">
        <v>339</v>
      </c>
      <c r="AA17" s="78" t="s">
        <v>276</v>
      </c>
      <c r="AB17" s="77" t="s">
        <v>340</v>
      </c>
      <c r="AC17" s="109">
        <f t="shared" si="5"/>
        <v>109.71428571428572</v>
      </c>
      <c r="AD17" s="110">
        <v>153.6</v>
      </c>
      <c r="AE17" s="110" t="s">
        <v>185</v>
      </c>
      <c r="AF17" s="111"/>
    </row>
    <row r="18" spans="1:32" ht="12.75">
      <c r="A18" s="77" t="s">
        <v>176</v>
      </c>
      <c r="B18" s="78" t="s">
        <v>276</v>
      </c>
      <c r="C18" s="77" t="s">
        <v>290</v>
      </c>
      <c r="D18" s="99">
        <f>E18/3.2</f>
        <v>1.5625</v>
      </c>
      <c r="E18" s="87">
        <v>5</v>
      </c>
      <c r="F18" s="87" t="s">
        <v>260</v>
      </c>
      <c r="G18" s="87"/>
      <c r="I18" s="77" t="s">
        <v>176</v>
      </c>
      <c r="J18" s="78" t="s">
        <v>276</v>
      </c>
      <c r="K18" s="77" t="s">
        <v>290</v>
      </c>
      <c r="L18" s="99">
        <f>M18/3.2</f>
        <v>1.5625</v>
      </c>
      <c r="M18" s="87">
        <v>5</v>
      </c>
      <c r="N18" s="87" t="s">
        <v>260</v>
      </c>
      <c r="O18" s="87"/>
      <c r="Q18" s="77" t="s">
        <v>176</v>
      </c>
      <c r="R18" s="78" t="s">
        <v>276</v>
      </c>
      <c r="S18" s="77" t="s">
        <v>290</v>
      </c>
      <c r="Z18" s="77" t="s">
        <v>340</v>
      </c>
      <c r="AA18" s="78" t="s">
        <v>276</v>
      </c>
      <c r="AB18" s="77" t="s">
        <v>338</v>
      </c>
      <c r="AC18" s="109">
        <f t="shared" si="5"/>
        <v>4.285714285714286</v>
      </c>
      <c r="AD18" s="110">
        <v>6</v>
      </c>
      <c r="AE18" s="110" t="s">
        <v>185</v>
      </c>
      <c r="AF18" s="111">
        <v>0.013888888888888888</v>
      </c>
    </row>
    <row r="19" spans="1:33" ht="12.75">
      <c r="A19" s="81"/>
      <c r="B19" s="82"/>
      <c r="C19" s="83" t="s">
        <v>291</v>
      </c>
      <c r="D19" s="99">
        <f>E19/3.2</f>
        <v>12.5</v>
      </c>
      <c r="E19" s="87">
        <v>40</v>
      </c>
      <c r="F19" s="87" t="s">
        <v>260</v>
      </c>
      <c r="G19" s="87"/>
      <c r="I19" s="81"/>
      <c r="J19" s="82"/>
      <c r="K19" s="83" t="s">
        <v>291</v>
      </c>
      <c r="L19" s="99">
        <f>M19/3.2</f>
        <v>12.5</v>
      </c>
      <c r="M19" s="87">
        <v>40</v>
      </c>
      <c r="N19" s="87" t="s">
        <v>260</v>
      </c>
      <c r="O19" s="87"/>
      <c r="Q19" s="116"/>
      <c r="R19" s="117"/>
      <c r="S19" s="83" t="s">
        <v>291</v>
      </c>
      <c r="T19" s="119">
        <f>U19/3.2</f>
        <v>12.5</v>
      </c>
      <c r="U19" s="120">
        <v>40</v>
      </c>
      <c r="V19" s="120" t="s">
        <v>260</v>
      </c>
      <c r="W19" s="115"/>
      <c r="Z19" s="77" t="s">
        <v>338</v>
      </c>
      <c r="AA19" s="78" t="s">
        <v>276</v>
      </c>
      <c r="AB19" s="77" t="s">
        <v>177</v>
      </c>
      <c r="AC19" s="109">
        <f>AD19/1.4</f>
        <v>21.42857142857143</v>
      </c>
      <c r="AD19" s="110">
        <v>30</v>
      </c>
      <c r="AE19" s="110" t="s">
        <v>185</v>
      </c>
      <c r="AF19" s="111">
        <v>0.20833333333333334</v>
      </c>
      <c r="AG19" t="s">
        <v>359</v>
      </c>
    </row>
    <row r="20" spans="1:32" ht="12.75">
      <c r="A20" s="77" t="s">
        <v>289</v>
      </c>
      <c r="B20" s="78" t="s">
        <v>276</v>
      </c>
      <c r="C20" s="77" t="s">
        <v>176</v>
      </c>
      <c r="D20" s="99">
        <f>E20/3.2</f>
        <v>1.5625</v>
      </c>
      <c r="E20" s="87">
        <v>5</v>
      </c>
      <c r="F20" s="87" t="s">
        <v>260</v>
      </c>
      <c r="G20" s="87"/>
      <c r="I20" s="77" t="s">
        <v>289</v>
      </c>
      <c r="J20" s="78" t="s">
        <v>276</v>
      </c>
      <c r="K20" s="77" t="s">
        <v>176</v>
      </c>
      <c r="L20" s="99">
        <f>M20/3.2</f>
        <v>1.5625</v>
      </c>
      <c r="M20" s="87">
        <v>5</v>
      </c>
      <c r="N20" s="87" t="s">
        <v>260</v>
      </c>
      <c r="O20" s="87"/>
      <c r="Q20" s="77" t="s">
        <v>289</v>
      </c>
      <c r="R20" s="78" t="s">
        <v>276</v>
      </c>
      <c r="S20" s="77" t="s">
        <v>176</v>
      </c>
      <c r="T20" s="109">
        <f>U20/3.2</f>
        <v>1.5625</v>
      </c>
      <c r="U20" s="110">
        <v>5</v>
      </c>
      <c r="V20" s="110" t="s">
        <v>260</v>
      </c>
      <c r="W20" s="110"/>
      <c r="Z20" s="77" t="s">
        <v>177</v>
      </c>
      <c r="AA20" s="78" t="s">
        <v>276</v>
      </c>
      <c r="AB20" s="77" t="s">
        <v>176</v>
      </c>
      <c r="AC20" s="109">
        <f>AD20*2</f>
        <v>7.8</v>
      </c>
      <c r="AD20" s="110">
        <v>3.9</v>
      </c>
      <c r="AE20" s="110" t="s">
        <v>172</v>
      </c>
      <c r="AF20" s="111">
        <v>0.10416666666666667</v>
      </c>
    </row>
    <row r="21" spans="1:32" ht="12.75">
      <c r="A21" s="77" t="s">
        <v>176</v>
      </c>
      <c r="B21" s="78" t="s">
        <v>276</v>
      </c>
      <c r="C21" s="77" t="s">
        <v>177</v>
      </c>
      <c r="D21" s="99">
        <f>E21*2</f>
        <v>7.8</v>
      </c>
      <c r="E21" s="87">
        <v>3.9</v>
      </c>
      <c r="F21" s="87" t="s">
        <v>172</v>
      </c>
      <c r="G21" s="108">
        <v>0.10416666666666667</v>
      </c>
      <c r="I21" s="77" t="s">
        <v>176</v>
      </c>
      <c r="J21" s="78" t="s">
        <v>276</v>
      </c>
      <c r="K21" s="77" t="s">
        <v>177</v>
      </c>
      <c r="L21" s="99">
        <f>M21*2</f>
        <v>7.8</v>
      </c>
      <c r="M21" s="87">
        <v>3.9</v>
      </c>
      <c r="N21" s="87" t="s">
        <v>172</v>
      </c>
      <c r="O21" s="108">
        <v>0.10416666666666667</v>
      </c>
      <c r="Q21" s="77" t="s">
        <v>176</v>
      </c>
      <c r="R21" s="78" t="s">
        <v>276</v>
      </c>
      <c r="S21" s="77" t="s">
        <v>177</v>
      </c>
      <c r="T21" s="109">
        <f>U21*2</f>
        <v>7.8</v>
      </c>
      <c r="U21" s="110">
        <v>3.9</v>
      </c>
      <c r="V21" s="110" t="s">
        <v>172</v>
      </c>
      <c r="W21" s="111">
        <v>0.10416666666666667</v>
      </c>
      <c r="Z21" s="77" t="s">
        <v>176</v>
      </c>
      <c r="AA21" s="78" t="s">
        <v>276</v>
      </c>
      <c r="AB21" s="77" t="s">
        <v>290</v>
      </c>
      <c r="AC21" s="119">
        <f>AD21/3.2</f>
        <v>12.5</v>
      </c>
      <c r="AD21" s="120">
        <v>40</v>
      </c>
      <c r="AE21" s="120" t="s">
        <v>260</v>
      </c>
      <c r="AF21" s="115"/>
    </row>
    <row r="22" spans="1:32" ht="12.75">
      <c r="A22" s="83" t="s">
        <v>177</v>
      </c>
      <c r="B22" s="84" t="s">
        <v>276</v>
      </c>
      <c r="C22" s="83" t="s">
        <v>292</v>
      </c>
      <c r="D22" s="99">
        <f>E22/1.4</f>
        <v>11.428571428571429</v>
      </c>
      <c r="E22" s="87">
        <v>16</v>
      </c>
      <c r="F22" s="87" t="s">
        <v>185</v>
      </c>
      <c r="G22" s="87" t="s">
        <v>353</v>
      </c>
      <c r="I22" s="83" t="s">
        <v>177</v>
      </c>
      <c r="J22" s="84" t="s">
        <v>276</v>
      </c>
      <c r="K22" s="83" t="s">
        <v>338</v>
      </c>
      <c r="L22" s="99"/>
      <c r="M22" s="87"/>
      <c r="N22" s="87"/>
      <c r="O22" s="108">
        <v>0.20833333333333334</v>
      </c>
      <c r="Q22" s="121" t="s">
        <v>177</v>
      </c>
      <c r="R22" s="122" t="s">
        <v>276</v>
      </c>
      <c r="S22" s="121" t="s">
        <v>338</v>
      </c>
      <c r="T22" s="109">
        <f aca="true" t="shared" si="6" ref="T22:T27">U22/1.4</f>
        <v>21.42857142857143</v>
      </c>
      <c r="U22" s="110">
        <v>30</v>
      </c>
      <c r="V22" s="110" t="s">
        <v>185</v>
      </c>
      <c r="W22" s="111">
        <v>0.20833333333333334</v>
      </c>
      <c r="X22" t="s">
        <v>359</v>
      </c>
      <c r="Z22" s="77" t="s">
        <v>289</v>
      </c>
      <c r="AA22" s="78" t="s">
        <v>276</v>
      </c>
      <c r="AB22" s="77" t="s">
        <v>176</v>
      </c>
      <c r="AC22" s="119">
        <f>AD22/3.2</f>
        <v>12.5</v>
      </c>
      <c r="AD22" s="120">
        <v>40</v>
      </c>
      <c r="AE22" s="120" t="s">
        <v>260</v>
      </c>
      <c r="AF22" s="115"/>
    </row>
    <row r="23" spans="1:32" ht="12.75">
      <c r="A23" s="83" t="s">
        <v>177</v>
      </c>
      <c r="B23" s="84" t="s">
        <v>276</v>
      </c>
      <c r="C23" s="83" t="s">
        <v>293</v>
      </c>
      <c r="D23" s="99">
        <f>E23/1.4</f>
        <v>25</v>
      </c>
      <c r="E23" s="87">
        <v>35</v>
      </c>
      <c r="F23" s="87" t="s">
        <v>185</v>
      </c>
      <c r="G23" s="87" t="s">
        <v>354</v>
      </c>
      <c r="I23" s="83" t="s">
        <v>338</v>
      </c>
      <c r="J23" s="84" t="s">
        <v>276</v>
      </c>
      <c r="K23" s="83" t="s">
        <v>340</v>
      </c>
      <c r="L23" s="99"/>
      <c r="M23" s="87"/>
      <c r="N23" s="87"/>
      <c r="O23" s="108">
        <v>0.013888888888888888</v>
      </c>
      <c r="Q23" s="121" t="s">
        <v>338</v>
      </c>
      <c r="R23" s="122" t="s">
        <v>276</v>
      </c>
      <c r="S23" s="121" t="s">
        <v>340</v>
      </c>
      <c r="T23" s="109">
        <f t="shared" si="6"/>
        <v>4.285714285714286</v>
      </c>
      <c r="U23" s="110">
        <v>6</v>
      </c>
      <c r="V23" s="110" t="s">
        <v>185</v>
      </c>
      <c r="W23" s="111">
        <v>0.013888888888888888</v>
      </c>
      <c r="Z23" s="77" t="s">
        <v>176</v>
      </c>
      <c r="AA23" s="78" t="s">
        <v>276</v>
      </c>
      <c r="AB23" s="77" t="s">
        <v>175</v>
      </c>
      <c r="AC23" s="109">
        <f>AD23*2</f>
        <v>4</v>
      </c>
      <c r="AD23" s="110">
        <v>2</v>
      </c>
      <c r="AE23" s="110" t="s">
        <v>172</v>
      </c>
      <c r="AF23" s="111">
        <v>0.14583333333333334</v>
      </c>
    </row>
    <row r="24" spans="1:32" ht="12.75">
      <c r="A24" s="77" t="s">
        <v>177</v>
      </c>
      <c r="B24" s="78" t="s">
        <v>276</v>
      </c>
      <c r="C24" s="77" t="s">
        <v>175</v>
      </c>
      <c r="D24" s="99">
        <f>E24/1.4</f>
        <v>35.714285714285715</v>
      </c>
      <c r="E24" s="87">
        <v>50</v>
      </c>
      <c r="F24" s="87" t="s">
        <v>185</v>
      </c>
      <c r="G24" s="108">
        <v>0.20833333333333334</v>
      </c>
      <c r="I24" s="77" t="s">
        <v>340</v>
      </c>
      <c r="J24" s="78" t="s">
        <v>276</v>
      </c>
      <c r="K24" s="77" t="s">
        <v>339</v>
      </c>
      <c r="L24" s="109">
        <f aca="true" t="shared" si="7" ref="L24:L30">M24/1.4</f>
        <v>109.71428571428572</v>
      </c>
      <c r="M24" s="110">
        <v>153.6</v>
      </c>
      <c r="N24" s="110" t="s">
        <v>185</v>
      </c>
      <c r="O24" s="108"/>
      <c r="Q24" s="77" t="s">
        <v>340</v>
      </c>
      <c r="R24" s="78" t="s">
        <v>276</v>
      </c>
      <c r="S24" s="77" t="s">
        <v>339</v>
      </c>
      <c r="T24" s="109">
        <f t="shared" si="6"/>
        <v>109.71428571428572</v>
      </c>
      <c r="U24" s="110">
        <v>153.6</v>
      </c>
      <c r="V24" s="110" t="s">
        <v>185</v>
      </c>
      <c r="W24" s="111"/>
      <c r="Z24" s="77" t="s">
        <v>175</v>
      </c>
      <c r="AA24" s="78" t="s">
        <v>276</v>
      </c>
      <c r="AB24" s="77" t="s">
        <v>286</v>
      </c>
      <c r="AC24" s="109">
        <f>AD24*2</f>
        <v>7</v>
      </c>
      <c r="AD24" s="110">
        <v>3.5</v>
      </c>
      <c r="AE24" s="110" t="s">
        <v>172</v>
      </c>
      <c r="AF24" s="111">
        <v>0.125</v>
      </c>
    </row>
    <row r="25" spans="1:32" ht="12.75">
      <c r="A25" s="77" t="s">
        <v>175</v>
      </c>
      <c r="B25" s="78" t="s">
        <v>276</v>
      </c>
      <c r="C25" s="77" t="s">
        <v>294</v>
      </c>
      <c r="D25" s="99">
        <f>E25*2</f>
        <v>19.98</v>
      </c>
      <c r="E25" s="87">
        <v>9.99</v>
      </c>
      <c r="F25" s="87" t="s">
        <v>172</v>
      </c>
      <c r="G25" s="108">
        <v>0.7083333333333334</v>
      </c>
      <c r="I25" s="77" t="s">
        <v>339</v>
      </c>
      <c r="J25" s="78" t="s">
        <v>276</v>
      </c>
      <c r="K25" s="77" t="s">
        <v>340</v>
      </c>
      <c r="L25" s="109">
        <f t="shared" si="7"/>
        <v>109.71428571428572</v>
      </c>
      <c r="M25" s="110">
        <v>153.6</v>
      </c>
      <c r="N25" s="110" t="s">
        <v>185</v>
      </c>
      <c r="O25" s="108"/>
      <c r="Q25" s="77" t="s">
        <v>339</v>
      </c>
      <c r="R25" s="78" t="s">
        <v>276</v>
      </c>
      <c r="S25" s="77" t="s">
        <v>340</v>
      </c>
      <c r="T25" s="109">
        <f t="shared" si="6"/>
        <v>109.71428571428572</v>
      </c>
      <c r="U25" s="110">
        <v>153.6</v>
      </c>
      <c r="V25" s="110" t="s">
        <v>185</v>
      </c>
      <c r="W25" s="111"/>
      <c r="Z25" s="77" t="s">
        <v>179</v>
      </c>
      <c r="AA25" s="78" t="s">
        <v>276</v>
      </c>
      <c r="AB25" s="77" t="s">
        <v>175</v>
      </c>
      <c r="AC25" s="109">
        <f>AD25*2</f>
        <v>7</v>
      </c>
      <c r="AD25" s="110">
        <v>3.5</v>
      </c>
      <c r="AE25" s="110" t="s">
        <v>172</v>
      </c>
      <c r="AF25" s="111">
        <v>0.125</v>
      </c>
    </row>
    <row r="26" spans="1:28" ht="12.75">
      <c r="A26" s="77" t="s">
        <v>180</v>
      </c>
      <c r="B26" s="78" t="s">
        <v>276</v>
      </c>
      <c r="C26" s="77" t="s">
        <v>254</v>
      </c>
      <c r="D26" s="99">
        <f>E26/3.2</f>
        <v>35.9375</v>
      </c>
      <c r="E26" s="87">
        <v>115</v>
      </c>
      <c r="F26" s="87" t="s">
        <v>260</v>
      </c>
      <c r="G26" s="108">
        <v>0.8055555555555555</v>
      </c>
      <c r="I26" s="77" t="s">
        <v>340</v>
      </c>
      <c r="J26" s="78" t="s">
        <v>276</v>
      </c>
      <c r="K26" s="77" t="s">
        <v>338</v>
      </c>
      <c r="L26" s="109">
        <f t="shared" si="7"/>
        <v>4.285714285714286</v>
      </c>
      <c r="M26" s="110">
        <v>6</v>
      </c>
      <c r="N26" s="110" t="s">
        <v>185</v>
      </c>
      <c r="O26" s="108">
        <v>0.013888888888888888</v>
      </c>
      <c r="Q26" s="77" t="s">
        <v>340</v>
      </c>
      <c r="R26" s="78" t="s">
        <v>276</v>
      </c>
      <c r="S26" s="77" t="s">
        <v>338</v>
      </c>
      <c r="T26" s="109">
        <f t="shared" si="6"/>
        <v>4.285714285714286</v>
      </c>
      <c r="U26" s="110">
        <v>6</v>
      </c>
      <c r="V26" s="110" t="s">
        <v>185</v>
      </c>
      <c r="W26" s="111">
        <v>0.013888888888888888</v>
      </c>
      <c r="Z26" s="81" t="s">
        <v>175</v>
      </c>
      <c r="AA26" s="82" t="s">
        <v>276</v>
      </c>
      <c r="AB26" s="81" t="s">
        <v>337</v>
      </c>
    </row>
    <row r="27" spans="1:32" ht="12.75">
      <c r="A27" s="77"/>
      <c r="B27" s="78"/>
      <c r="C27" s="77"/>
      <c r="D27" s="99">
        <f>E27/3.2</f>
        <v>73.125</v>
      </c>
      <c r="E27" s="87">
        <v>234</v>
      </c>
      <c r="F27" s="87" t="s">
        <v>260</v>
      </c>
      <c r="G27" s="87"/>
      <c r="I27" s="77" t="s">
        <v>338</v>
      </c>
      <c r="J27" s="78" t="s">
        <v>276</v>
      </c>
      <c r="K27" s="77" t="s">
        <v>177</v>
      </c>
      <c r="L27" s="109">
        <f t="shared" si="7"/>
        <v>35.714285714285715</v>
      </c>
      <c r="M27" s="110">
        <v>50</v>
      </c>
      <c r="N27" s="110" t="s">
        <v>185</v>
      </c>
      <c r="O27" s="108">
        <v>0.20833333333333334</v>
      </c>
      <c r="Q27" s="77" t="s">
        <v>338</v>
      </c>
      <c r="R27" s="78" t="s">
        <v>276</v>
      </c>
      <c r="S27" s="77" t="s">
        <v>175</v>
      </c>
      <c r="T27" s="109">
        <f t="shared" si="6"/>
        <v>35.714285714285715</v>
      </c>
      <c r="U27" s="110">
        <v>50</v>
      </c>
      <c r="V27" s="110" t="s">
        <v>185</v>
      </c>
      <c r="W27" s="111">
        <v>0.625</v>
      </c>
      <c r="Z27" s="77" t="s">
        <v>175</v>
      </c>
      <c r="AA27" s="78" t="s">
        <v>276</v>
      </c>
      <c r="AB27" s="77" t="s">
        <v>342</v>
      </c>
      <c r="AC27" s="109">
        <f>AD27*2</f>
        <v>19.98</v>
      </c>
      <c r="AD27" s="110">
        <v>9.99</v>
      </c>
      <c r="AE27" s="110" t="s">
        <v>172</v>
      </c>
      <c r="AF27" s="111">
        <v>0.7083333333333334</v>
      </c>
    </row>
    <row r="28" spans="1:32" ht="12.75">
      <c r="A28" s="77" t="s">
        <v>295</v>
      </c>
      <c r="B28" s="78" t="s">
        <v>276</v>
      </c>
      <c r="C28" s="77" t="s">
        <v>255</v>
      </c>
      <c r="D28" s="99">
        <v>3</v>
      </c>
      <c r="E28" s="87"/>
      <c r="F28" s="87" t="s">
        <v>348</v>
      </c>
      <c r="G28" s="87"/>
      <c r="I28" s="83" t="s">
        <v>177</v>
      </c>
      <c r="J28" s="84" t="s">
        <v>276</v>
      </c>
      <c r="K28" s="83" t="s">
        <v>292</v>
      </c>
      <c r="L28" s="99">
        <f t="shared" si="7"/>
        <v>11.428571428571429</v>
      </c>
      <c r="M28" s="87">
        <v>16</v>
      </c>
      <c r="N28" s="87" t="s">
        <v>185</v>
      </c>
      <c r="O28" s="87"/>
      <c r="Q28" s="77" t="s">
        <v>175</v>
      </c>
      <c r="R28" s="78" t="s">
        <v>276</v>
      </c>
      <c r="S28" s="77" t="s">
        <v>341</v>
      </c>
      <c r="T28" s="109">
        <f>U28*2</f>
        <v>19.98</v>
      </c>
      <c r="U28" s="110">
        <v>9.99</v>
      </c>
      <c r="V28" s="110" t="s">
        <v>172</v>
      </c>
      <c r="W28" s="111">
        <v>0.7083333333333334</v>
      </c>
      <c r="Z28" s="77" t="s">
        <v>343</v>
      </c>
      <c r="AA28" s="78" t="s">
        <v>276</v>
      </c>
      <c r="AB28" s="77" t="s">
        <v>344</v>
      </c>
      <c r="AC28" s="109">
        <v>272</v>
      </c>
      <c r="AD28" s="110"/>
      <c r="AE28" s="110" t="s">
        <v>348</v>
      </c>
      <c r="AF28" s="110"/>
    </row>
    <row r="29" spans="1:32" ht="12.75">
      <c r="A29" s="77" t="s">
        <v>255</v>
      </c>
      <c r="B29" s="78" t="s">
        <v>276</v>
      </c>
      <c r="C29" s="77" t="s">
        <v>288</v>
      </c>
      <c r="D29" s="99">
        <v>60</v>
      </c>
      <c r="E29" s="87"/>
      <c r="F29" s="87" t="s">
        <v>348</v>
      </c>
      <c r="G29" s="108">
        <v>0.25</v>
      </c>
      <c r="I29" s="83" t="s">
        <v>177</v>
      </c>
      <c r="J29" s="84" t="s">
        <v>276</v>
      </c>
      <c r="K29" s="83" t="s">
        <v>293</v>
      </c>
      <c r="L29" s="99">
        <f t="shared" si="7"/>
        <v>25</v>
      </c>
      <c r="M29" s="87">
        <v>35</v>
      </c>
      <c r="N29" s="87" t="s">
        <v>185</v>
      </c>
      <c r="O29" s="108">
        <v>0.25</v>
      </c>
      <c r="Q29" s="77" t="s">
        <v>343</v>
      </c>
      <c r="R29" s="78" t="s">
        <v>276</v>
      </c>
      <c r="S29" s="77" t="s">
        <v>344</v>
      </c>
      <c r="T29" s="109">
        <v>272</v>
      </c>
      <c r="U29" s="110"/>
      <c r="V29" s="110" t="s">
        <v>348</v>
      </c>
      <c r="W29" s="110"/>
      <c r="Z29" s="77" t="s">
        <v>347</v>
      </c>
      <c r="AA29" s="78" t="s">
        <v>276</v>
      </c>
      <c r="AB29" s="77" t="s">
        <v>288</v>
      </c>
      <c r="AC29" s="109">
        <v>55</v>
      </c>
      <c r="AD29" s="110"/>
      <c r="AE29" s="110" t="s">
        <v>348</v>
      </c>
      <c r="AF29" s="110"/>
    </row>
    <row r="30" spans="1:32" ht="12.75">
      <c r="A30" s="77" t="s">
        <v>296</v>
      </c>
      <c r="B30" s="78" t="s">
        <v>276</v>
      </c>
      <c r="C30" s="77" t="s">
        <v>255</v>
      </c>
      <c r="D30" s="99">
        <v>60</v>
      </c>
      <c r="E30" s="87"/>
      <c r="F30" s="87" t="s">
        <v>348</v>
      </c>
      <c r="G30" s="108">
        <v>0.25</v>
      </c>
      <c r="I30" s="77" t="s">
        <v>177</v>
      </c>
      <c r="J30" s="78" t="s">
        <v>276</v>
      </c>
      <c r="K30" s="77" t="s">
        <v>175</v>
      </c>
      <c r="L30" s="99">
        <f t="shared" si="7"/>
        <v>35.714285714285715</v>
      </c>
      <c r="M30" s="87">
        <v>50</v>
      </c>
      <c r="N30" s="87" t="s">
        <v>185</v>
      </c>
      <c r="O30" s="108">
        <v>0.25</v>
      </c>
      <c r="Q30" s="77" t="s">
        <v>347</v>
      </c>
      <c r="R30" s="78" t="s">
        <v>276</v>
      </c>
      <c r="S30" s="77" t="s">
        <v>288</v>
      </c>
      <c r="T30" s="109">
        <v>55</v>
      </c>
      <c r="U30" s="110"/>
      <c r="V30" s="110" t="s">
        <v>348</v>
      </c>
      <c r="W30" s="110"/>
      <c r="Z30" s="83" t="s">
        <v>288</v>
      </c>
      <c r="AA30" s="84" t="s">
        <v>276</v>
      </c>
      <c r="AB30" s="83" t="s">
        <v>345</v>
      </c>
      <c r="AC30" s="109">
        <v>25</v>
      </c>
      <c r="AD30" s="110"/>
      <c r="AE30" s="110" t="s">
        <v>348</v>
      </c>
      <c r="AF30" s="110" t="s">
        <v>356</v>
      </c>
    </row>
    <row r="31" spans="1:32" ht="12.75">
      <c r="A31" s="79" t="s">
        <v>255</v>
      </c>
      <c r="B31" s="80" t="s">
        <v>276</v>
      </c>
      <c r="C31" s="79" t="s">
        <v>256</v>
      </c>
      <c r="D31" s="99">
        <v>254.42</v>
      </c>
      <c r="E31" s="87"/>
      <c r="F31" s="87" t="s">
        <v>348</v>
      </c>
      <c r="G31" s="108">
        <v>0.22916666666666666</v>
      </c>
      <c r="I31" s="77" t="s">
        <v>175</v>
      </c>
      <c r="J31" s="78" t="s">
        <v>276</v>
      </c>
      <c r="K31" s="77" t="s">
        <v>341</v>
      </c>
      <c r="L31" s="99">
        <f>M31*2</f>
        <v>19.98</v>
      </c>
      <c r="M31" s="87">
        <v>9.99</v>
      </c>
      <c r="N31" s="87" t="s">
        <v>172</v>
      </c>
      <c r="O31" s="108">
        <v>0.22916666666666666</v>
      </c>
      <c r="Q31" s="83" t="s">
        <v>288</v>
      </c>
      <c r="R31" s="84" t="s">
        <v>276</v>
      </c>
      <c r="S31" s="83" t="s">
        <v>345</v>
      </c>
      <c r="T31" s="109">
        <v>25</v>
      </c>
      <c r="U31" s="110"/>
      <c r="V31" s="110" t="s">
        <v>348</v>
      </c>
      <c r="W31" s="110" t="s">
        <v>356</v>
      </c>
      <c r="Z31" s="83" t="s">
        <v>288</v>
      </c>
      <c r="AA31" s="84" t="s">
        <v>276</v>
      </c>
      <c r="AB31" s="83" t="s">
        <v>346</v>
      </c>
      <c r="AC31" s="109">
        <v>38</v>
      </c>
      <c r="AD31" s="118" t="s">
        <v>358</v>
      </c>
      <c r="AE31" s="110" t="s">
        <v>348</v>
      </c>
      <c r="AF31" s="110" t="s">
        <v>356</v>
      </c>
    </row>
    <row r="32" spans="1:32" ht="12.75">
      <c r="A32" t="s">
        <v>187</v>
      </c>
      <c r="D32" s="76">
        <f>SUM(D4:D30)-D26-D18</f>
        <v>1099.511409774436</v>
      </c>
      <c r="I32" s="77" t="s">
        <v>343</v>
      </c>
      <c r="J32" s="78" t="s">
        <v>276</v>
      </c>
      <c r="K32" s="77" t="s">
        <v>344</v>
      </c>
      <c r="L32" s="99">
        <v>272</v>
      </c>
      <c r="M32" s="87"/>
      <c r="N32" s="87" t="s">
        <v>348</v>
      </c>
      <c r="O32" s="87"/>
      <c r="Q32" s="83" t="s">
        <v>288</v>
      </c>
      <c r="R32" s="84" t="s">
        <v>276</v>
      </c>
      <c r="S32" s="83" t="s">
        <v>346</v>
      </c>
      <c r="T32" s="109">
        <v>38</v>
      </c>
      <c r="U32" s="118" t="s">
        <v>358</v>
      </c>
      <c r="V32" s="110" t="s">
        <v>348</v>
      </c>
      <c r="W32" s="110" t="s">
        <v>356</v>
      </c>
      <c r="Z32" s="83" t="s">
        <v>288</v>
      </c>
      <c r="AA32" s="84" t="s">
        <v>276</v>
      </c>
      <c r="AB32" s="83" t="s">
        <v>355</v>
      </c>
      <c r="AC32" s="109">
        <v>88</v>
      </c>
      <c r="AD32" s="118" t="s">
        <v>357</v>
      </c>
      <c r="AE32" s="110" t="s">
        <v>348</v>
      </c>
      <c r="AF32" s="110" t="s">
        <v>351</v>
      </c>
    </row>
    <row r="33" spans="1:32" ht="12.75">
      <c r="A33" s="77" t="s">
        <v>298</v>
      </c>
      <c r="D33" s="76">
        <f>SUM(D3:D31)</f>
        <v>2026.4314097744361</v>
      </c>
      <c r="I33" s="77" t="s">
        <v>347</v>
      </c>
      <c r="J33" s="78" t="s">
        <v>276</v>
      </c>
      <c r="K33" s="77" t="s">
        <v>288</v>
      </c>
      <c r="L33" s="99">
        <v>55</v>
      </c>
      <c r="M33" s="87"/>
      <c r="N33" s="87" t="s">
        <v>348</v>
      </c>
      <c r="O33" s="87"/>
      <c r="Q33" s="83" t="s">
        <v>288</v>
      </c>
      <c r="R33" s="84" t="s">
        <v>276</v>
      </c>
      <c r="S33" s="83" t="s">
        <v>355</v>
      </c>
      <c r="T33" s="109">
        <v>88</v>
      </c>
      <c r="U33" s="118" t="s">
        <v>357</v>
      </c>
      <c r="V33" s="110" t="s">
        <v>348</v>
      </c>
      <c r="W33" s="110" t="s">
        <v>351</v>
      </c>
      <c r="Z33" s="77" t="s">
        <v>288</v>
      </c>
      <c r="AA33" s="78" t="s">
        <v>276</v>
      </c>
      <c r="AB33" s="77" t="s">
        <v>255</v>
      </c>
      <c r="AC33" s="109">
        <v>60</v>
      </c>
      <c r="AD33" s="110"/>
      <c r="AE33" s="110" t="s">
        <v>348</v>
      </c>
      <c r="AF33" s="110"/>
    </row>
    <row r="34" spans="9:28" ht="12.75">
      <c r="I34" s="83" t="s">
        <v>288</v>
      </c>
      <c r="J34" s="84" t="s">
        <v>276</v>
      </c>
      <c r="K34" s="83" t="s">
        <v>345</v>
      </c>
      <c r="L34" s="99">
        <v>25</v>
      </c>
      <c r="M34" s="87"/>
      <c r="N34" s="87" t="s">
        <v>348</v>
      </c>
      <c r="O34" s="87"/>
      <c r="Q34" s="77" t="s">
        <v>288</v>
      </c>
      <c r="R34" s="78" t="s">
        <v>276</v>
      </c>
      <c r="S34" s="77" t="s">
        <v>255</v>
      </c>
      <c r="T34" s="109">
        <v>60</v>
      </c>
      <c r="U34" s="110"/>
      <c r="V34" s="110" t="s">
        <v>348</v>
      </c>
      <c r="W34" s="110"/>
      <c r="Z34" s="77" t="s">
        <v>255</v>
      </c>
      <c r="AA34" s="78" t="s">
        <v>276</v>
      </c>
      <c r="AB34" s="77" t="s">
        <v>256</v>
      </c>
    </row>
    <row r="35" spans="1:15" ht="12.75">
      <c r="A35" t="s">
        <v>328</v>
      </c>
      <c r="D35" s="76">
        <f>SUM(D4:D5,D7,D13:D17,D18,D20,D21,D24:D25)</f>
        <v>296.17071428571427</v>
      </c>
      <c r="I35" s="83" t="s">
        <v>288</v>
      </c>
      <c r="J35" s="84" t="s">
        <v>276</v>
      </c>
      <c r="K35" s="83" t="s">
        <v>346</v>
      </c>
      <c r="L35" s="99">
        <v>38</v>
      </c>
      <c r="M35" s="87"/>
      <c r="N35" s="87" t="s">
        <v>348</v>
      </c>
      <c r="O35" s="87"/>
    </row>
    <row r="36" spans="1:17" ht="12.75">
      <c r="A36" t="s">
        <v>329</v>
      </c>
      <c r="D36" s="76">
        <f>SUM(D6,D8:D12,D22:D23)</f>
        <v>596.2781954887218</v>
      </c>
      <c r="I36" s="77" t="s">
        <v>288</v>
      </c>
      <c r="J36" s="78" t="s">
        <v>276</v>
      </c>
      <c r="K36" s="77" t="s">
        <v>255</v>
      </c>
      <c r="L36" s="99">
        <v>60</v>
      </c>
      <c r="M36" s="87"/>
      <c r="N36" s="87" t="s">
        <v>348</v>
      </c>
      <c r="O36" s="87"/>
      <c r="Q36" s="83" t="s">
        <v>329</v>
      </c>
    </row>
    <row r="37" ht="12.75">
      <c r="Q37" s="83" t="s">
        <v>328</v>
      </c>
    </row>
    <row r="38" spans="9:10" ht="12.75">
      <c r="I38" t="s">
        <v>328</v>
      </c>
      <c r="J38" s="76">
        <f>SUM(L4:L5,L7,L13:L15,L17:L18,L20:L21,L24:L27,L30:L33,L36)</f>
        <v>918.108007518797</v>
      </c>
    </row>
    <row r="39" spans="9:30" ht="12.75">
      <c r="I39" t="s">
        <v>329</v>
      </c>
      <c r="AB39" t="s">
        <v>499</v>
      </c>
      <c r="AC39">
        <f>SUM(AD7:AD10)</f>
        <v>71900</v>
      </c>
      <c r="AD39" t="s">
        <v>188</v>
      </c>
    </row>
    <row r="40" spans="1:30" ht="12.75">
      <c r="A40" t="s">
        <v>190</v>
      </c>
      <c r="B40"/>
      <c r="D40"/>
      <c r="I40" t="s">
        <v>335</v>
      </c>
      <c r="AB40" s="209" t="s">
        <v>502</v>
      </c>
      <c r="AC40">
        <v>135</v>
      </c>
      <c r="AD40" t="s">
        <v>172</v>
      </c>
    </row>
    <row r="41" spans="1:31" ht="12.75">
      <c r="A41" t="s">
        <v>191</v>
      </c>
      <c r="B41" t="s">
        <v>192</v>
      </c>
      <c r="D41"/>
      <c r="AC41">
        <v>124</v>
      </c>
      <c r="AD41" t="s">
        <v>185</v>
      </c>
      <c r="AE41" t="s">
        <v>500</v>
      </c>
    </row>
    <row r="42" spans="1:9" ht="12.75">
      <c r="A42" t="s">
        <v>193</v>
      </c>
      <c r="B42" t="s">
        <v>194</v>
      </c>
      <c r="D42"/>
      <c r="I42" t="s">
        <v>298</v>
      </c>
    </row>
    <row r="43" spans="1:30" ht="12.75">
      <c r="A43" t="s">
        <v>195</v>
      </c>
      <c r="B43" t="s">
        <v>196</v>
      </c>
      <c r="D43"/>
      <c r="AB43" t="s">
        <v>501</v>
      </c>
      <c r="AC43">
        <f>SUM(AD4:AD6)</f>
        <v>46300</v>
      </c>
      <c r="AD43" t="s">
        <v>188</v>
      </c>
    </row>
    <row r="44" spans="2:30" ht="12.75">
      <c r="B44"/>
      <c r="D44"/>
      <c r="AC44">
        <f>(SUM(AD23:AD25))+AD27+AD20+AD12</f>
        <v>29.39</v>
      </c>
      <c r="AD44" t="s">
        <v>172</v>
      </c>
    </row>
    <row r="45" spans="1:30" ht="12.75">
      <c r="A45" s="1" t="s">
        <v>197</v>
      </c>
      <c r="B45" s="1" t="s">
        <v>198</v>
      </c>
      <c r="D45"/>
      <c r="AC45">
        <f>SUM(AD13:AD19)</f>
        <v>429.2</v>
      </c>
      <c r="AD45" t="s">
        <v>185</v>
      </c>
    </row>
    <row r="46" spans="1:30" ht="12.75">
      <c r="A46" s="1" t="s">
        <v>193</v>
      </c>
      <c r="B46" s="1" t="s">
        <v>194</v>
      </c>
      <c r="D46"/>
      <c r="AC46">
        <f>SUM(AD21:AD22)</f>
        <v>80</v>
      </c>
      <c r="AD46" t="s">
        <v>260</v>
      </c>
    </row>
    <row r="47" spans="1:4" ht="12.75">
      <c r="A47" s="1" t="s">
        <v>195</v>
      </c>
      <c r="B47" s="1" t="s">
        <v>196</v>
      </c>
      <c r="D47"/>
    </row>
    <row r="48" spans="1:29" ht="12.75">
      <c r="A48" s="1" t="s">
        <v>199</v>
      </c>
      <c r="B48" s="1" t="s">
        <v>200</v>
      </c>
      <c r="D48"/>
      <c r="AB48" t="s">
        <v>188</v>
      </c>
      <c r="AC48">
        <f>AC39+AC43</f>
        <v>118200</v>
      </c>
    </row>
    <row r="49" spans="1:29" ht="12.75">
      <c r="A49" s="1" t="s">
        <v>201</v>
      </c>
      <c r="B49" s="1" t="s">
        <v>202</v>
      </c>
      <c r="D49"/>
      <c r="AB49" t="s">
        <v>172</v>
      </c>
      <c r="AC49">
        <f>AC40+AC44</f>
        <v>164.39</v>
      </c>
    </row>
    <row r="50" spans="2:29" ht="12.75">
      <c r="B50" s="1" t="s">
        <v>202</v>
      </c>
      <c r="D50"/>
      <c r="AB50" t="s">
        <v>185</v>
      </c>
      <c r="AC50">
        <f>AC41+AC45</f>
        <v>553.2</v>
      </c>
    </row>
    <row r="51" spans="1:29" ht="12.75">
      <c r="A51" s="1" t="s">
        <v>195</v>
      </c>
      <c r="B51" s="1" t="s">
        <v>248</v>
      </c>
      <c r="D51"/>
      <c r="AB51" t="s">
        <v>260</v>
      </c>
      <c r="AC51">
        <f>AC46+80</f>
        <v>160</v>
      </c>
    </row>
    <row r="52" spans="1:28" ht="12.75">
      <c r="A52" s="1" t="s">
        <v>195</v>
      </c>
      <c r="B52" s="1" t="s">
        <v>249</v>
      </c>
      <c r="D52"/>
      <c r="AB52" t="s">
        <v>348</v>
      </c>
    </row>
    <row r="53" spans="1:25" ht="12.75">
      <c r="A53" s="1" t="s">
        <v>195</v>
      </c>
      <c r="B53" s="1" t="s">
        <v>250</v>
      </c>
      <c r="D53"/>
      <c r="Y53" t="s">
        <v>503</v>
      </c>
    </row>
    <row r="54" spans="24:28" ht="12.75">
      <c r="X54">
        <f>20/0.004</f>
        <v>5000</v>
      </c>
      <c r="Y54" t="s">
        <v>188</v>
      </c>
      <c r="Z54">
        <v>3</v>
      </c>
      <c r="AB54" t="s">
        <v>258</v>
      </c>
    </row>
    <row r="55" spans="24:33" ht="12.75">
      <c r="X55">
        <f>20*1.4</f>
        <v>28</v>
      </c>
      <c r="Y55" t="s">
        <v>185</v>
      </c>
      <c r="Z55">
        <v>2</v>
      </c>
      <c r="AB55" t="s">
        <v>188</v>
      </c>
      <c r="AC55">
        <f>AD55+AD56</f>
        <v>37000</v>
      </c>
      <c r="AD55">
        <v>16000</v>
      </c>
      <c r="AE55" t="s">
        <v>188</v>
      </c>
      <c r="AF55" t="s">
        <v>165</v>
      </c>
      <c r="AG55" t="s">
        <v>164</v>
      </c>
    </row>
    <row r="56" spans="24:33" ht="12.75">
      <c r="X56">
        <f>20*3.2</f>
        <v>64</v>
      </c>
      <c r="Y56" t="s">
        <v>260</v>
      </c>
      <c r="Z56">
        <v>3</v>
      </c>
      <c r="AB56" t="s">
        <v>172</v>
      </c>
      <c r="AD56">
        <v>21000</v>
      </c>
      <c r="AE56" t="s">
        <v>188</v>
      </c>
      <c r="AF56" t="s">
        <v>189</v>
      </c>
      <c r="AG56" t="s">
        <v>168</v>
      </c>
    </row>
    <row r="57" spans="28:33" ht="12.75">
      <c r="AB57" t="s">
        <v>185</v>
      </c>
      <c r="AC57">
        <f>AD57</f>
        <v>80</v>
      </c>
      <c r="AD57">
        <v>80</v>
      </c>
      <c r="AE57" t="s">
        <v>185</v>
      </c>
      <c r="AF57" t="s">
        <v>165</v>
      </c>
      <c r="AG57" t="s">
        <v>178</v>
      </c>
    </row>
    <row r="58" spans="28:33" ht="12.75">
      <c r="AB58" t="s">
        <v>260</v>
      </c>
      <c r="AC58">
        <f>AD58+AD59</f>
        <v>200</v>
      </c>
      <c r="AD58">
        <v>80</v>
      </c>
      <c r="AE58" t="s">
        <v>260</v>
      </c>
      <c r="AF58" t="s">
        <v>165</v>
      </c>
      <c r="AG58" t="s">
        <v>184</v>
      </c>
    </row>
    <row r="59" spans="28:33" ht="12.75">
      <c r="AB59" t="s">
        <v>348</v>
      </c>
      <c r="AD59">
        <v>120</v>
      </c>
      <c r="AE59" t="s">
        <v>260</v>
      </c>
      <c r="AF59" t="s">
        <v>165</v>
      </c>
      <c r="AG59" t="s">
        <v>186</v>
      </c>
    </row>
    <row r="61" ht="12.75">
      <c r="AB61" t="s">
        <v>187</v>
      </c>
    </row>
    <row r="62" spans="28:32" ht="12.75">
      <c r="AB62" t="s">
        <v>188</v>
      </c>
      <c r="AC62">
        <f>AC55+AC48</f>
        <v>155200</v>
      </c>
      <c r="AD62">
        <f>AC62*0.004</f>
        <v>620.8000000000001</v>
      </c>
      <c r="AE62">
        <f>AC62/266</f>
        <v>583.4586466165414</v>
      </c>
      <c r="AF62">
        <f>AC62/280</f>
        <v>554.2857142857143</v>
      </c>
    </row>
    <row r="63" spans="28:29" ht="12.75">
      <c r="AB63" t="s">
        <v>172</v>
      </c>
      <c r="AC63">
        <f>AC49+AC56</f>
        <v>164.39</v>
      </c>
    </row>
    <row r="64" spans="28:29" ht="12.75">
      <c r="AB64" t="s">
        <v>185</v>
      </c>
      <c r="AC64">
        <f>AC57+AC50</f>
        <v>633.2</v>
      </c>
    </row>
    <row r="65" spans="28:29" ht="12.75">
      <c r="AB65" t="s">
        <v>260</v>
      </c>
      <c r="AC65">
        <f>AC51+AC58</f>
        <v>360</v>
      </c>
    </row>
    <row r="66" spans="28:29" ht="12.75">
      <c r="AB66" t="s">
        <v>348</v>
      </c>
      <c r="AC66">
        <f>AC59+AC52</f>
        <v>0</v>
      </c>
    </row>
    <row r="68" spans="29:30" ht="12.75">
      <c r="AC68">
        <v>195000</v>
      </c>
      <c r="AD68" t="s">
        <v>188</v>
      </c>
    </row>
    <row r="69" spans="29:30" ht="12.75">
      <c r="AC69">
        <v>700</v>
      </c>
      <c r="AD69" t="s">
        <v>185</v>
      </c>
    </row>
    <row r="70" spans="28:30" ht="12.75">
      <c r="AB70">
        <f>3*X56+AC65</f>
        <v>552</v>
      </c>
      <c r="AC70">
        <v>550</v>
      </c>
      <c r="AD70" t="s">
        <v>260</v>
      </c>
    </row>
  </sheetData>
  <sheetProtection/>
  <mergeCells count="4">
    <mergeCell ref="E2:F2"/>
    <mergeCell ref="M2:N2"/>
    <mergeCell ref="U2:V2"/>
    <mergeCell ref="AD2:A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E23" sqref="E23"/>
    </sheetView>
  </sheetViews>
  <sheetFormatPr defaultColWidth="10.28125" defaultRowHeight="12.75"/>
  <cols>
    <col min="1" max="1" width="15.7109375" style="196" bestFit="1" customWidth="1"/>
    <col min="2" max="2" width="7.140625" style="197" bestFit="1" customWidth="1"/>
    <col min="3" max="3" width="6.8515625" style="190" bestFit="1" customWidth="1"/>
    <col min="4" max="4" width="13.57421875" style="190" bestFit="1" customWidth="1"/>
    <col min="5" max="5" width="8.28125" style="198" bestFit="1" customWidth="1"/>
    <col min="6" max="6" width="6.8515625" style="199" bestFit="1" customWidth="1"/>
    <col min="7" max="7" width="9.421875" style="200" bestFit="1" customWidth="1"/>
    <col min="8" max="8" width="6.8515625" style="201" bestFit="1" customWidth="1"/>
    <col min="9" max="9" width="8.140625" style="196" bestFit="1" customWidth="1"/>
    <col min="10" max="10" width="10.00390625" style="200" bestFit="1" customWidth="1"/>
    <col min="11" max="11" width="10.421875" style="197" customWidth="1"/>
    <col min="12" max="12" width="10.421875" style="199" customWidth="1"/>
    <col min="13" max="13" width="10.421875" style="201" customWidth="1"/>
    <col min="14" max="14" width="41.00390625" style="190" bestFit="1" customWidth="1"/>
    <col min="15" max="16384" width="10.28125" style="191" customWidth="1"/>
  </cols>
  <sheetData>
    <row r="1" spans="1:13" ht="15.75" thickBot="1">
      <c r="A1" s="287" t="s">
        <v>497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1:19" ht="15" thickTop="1">
      <c r="A2" s="192" t="s">
        <v>317</v>
      </c>
      <c r="B2" s="283" t="s">
        <v>430</v>
      </c>
      <c r="C2" s="284"/>
      <c r="D2" s="193"/>
      <c r="E2" s="285" t="s">
        <v>431</v>
      </c>
      <c r="F2" s="285"/>
      <c r="G2" s="194" t="s">
        <v>432</v>
      </c>
      <c r="H2" s="195" t="s">
        <v>433</v>
      </c>
      <c r="I2" s="192" t="s">
        <v>321</v>
      </c>
      <c r="J2" s="286" t="s">
        <v>504</v>
      </c>
      <c r="K2" s="286"/>
      <c r="L2" s="286"/>
      <c r="M2" s="286"/>
      <c r="O2" s="191" t="s">
        <v>434</v>
      </c>
      <c r="P2" s="191" t="s">
        <v>435</v>
      </c>
      <c r="R2" s="191" t="s">
        <v>436</v>
      </c>
      <c r="S2" s="191" t="s">
        <v>183</v>
      </c>
    </row>
    <row r="3" spans="2:19" ht="14.25">
      <c r="B3" s="197" t="s">
        <v>437</v>
      </c>
      <c r="C3" s="190" t="s">
        <v>438</v>
      </c>
      <c r="E3" s="198" t="s">
        <v>437</v>
      </c>
      <c r="F3" s="199" t="s">
        <v>438</v>
      </c>
      <c r="J3" s="200" t="s">
        <v>439</v>
      </c>
      <c r="K3" s="197" t="s">
        <v>440</v>
      </c>
      <c r="L3" s="199" t="s">
        <v>441</v>
      </c>
      <c r="M3" s="201" t="s">
        <v>442</v>
      </c>
      <c r="N3" s="190" t="s">
        <v>318</v>
      </c>
      <c r="O3" s="191" t="s">
        <v>434</v>
      </c>
      <c r="P3" s="191" t="s">
        <v>182</v>
      </c>
      <c r="R3" s="191" t="s">
        <v>436</v>
      </c>
      <c r="S3" s="191" t="s">
        <v>174</v>
      </c>
    </row>
    <row r="4" spans="1:15" ht="14.25">
      <c r="A4" s="196" t="s">
        <v>443</v>
      </c>
      <c r="B4" s="197">
        <v>118</v>
      </c>
      <c r="I4" s="196" t="s">
        <v>172</v>
      </c>
      <c r="K4" s="202">
        <f>B4*2</f>
        <v>236</v>
      </c>
      <c r="L4" s="203"/>
      <c r="M4" s="204"/>
      <c r="N4" s="205" t="s">
        <v>444</v>
      </c>
      <c r="O4" s="206"/>
    </row>
    <row r="5" spans="1:15" ht="14.25">
      <c r="A5" s="196" t="s">
        <v>445</v>
      </c>
      <c r="E5" s="198">
        <v>40000</v>
      </c>
      <c r="I5" s="196" t="s">
        <v>188</v>
      </c>
      <c r="K5" s="202"/>
      <c r="L5" s="203">
        <f>E5*0.5/266</f>
        <v>75.18796992481202</v>
      </c>
      <c r="M5" s="204"/>
      <c r="N5" s="205" t="s">
        <v>446</v>
      </c>
      <c r="O5" s="206"/>
    </row>
    <row r="6" spans="1:15" ht="14.25">
      <c r="A6" s="196" t="s">
        <v>447</v>
      </c>
      <c r="C6" s="190">
        <v>23000</v>
      </c>
      <c r="D6" s="207" t="s">
        <v>448</v>
      </c>
      <c r="I6" s="196" t="s">
        <v>188</v>
      </c>
      <c r="K6" s="202">
        <f>C6/266</f>
        <v>86.46616541353383</v>
      </c>
      <c r="L6" s="203">
        <f>E6*0.5/266</f>
        <v>0</v>
      </c>
      <c r="M6" s="204"/>
      <c r="N6" s="205" t="s">
        <v>449</v>
      </c>
      <c r="O6" s="206"/>
    </row>
    <row r="7" spans="1:15" ht="14.25">
      <c r="A7" s="196" t="s">
        <v>450</v>
      </c>
      <c r="E7" s="198">
        <v>18000</v>
      </c>
      <c r="F7" s="199">
        <v>30000</v>
      </c>
      <c r="G7" s="200">
        <v>7000</v>
      </c>
      <c r="I7" s="196" t="s">
        <v>188</v>
      </c>
      <c r="K7" s="202">
        <f>E7/266</f>
        <v>67.66917293233082</v>
      </c>
      <c r="L7" s="203">
        <f>E7*0.5/266</f>
        <v>33.83458646616541</v>
      </c>
      <c r="M7" s="204"/>
      <c r="N7" s="205" t="s">
        <v>451</v>
      </c>
      <c r="O7" s="206"/>
    </row>
    <row r="8" spans="1:15" ht="14.25">
      <c r="A8" s="196" t="s">
        <v>452</v>
      </c>
      <c r="E8" s="198">
        <v>160</v>
      </c>
      <c r="F8" s="199">
        <v>200</v>
      </c>
      <c r="I8" s="196" t="s">
        <v>172</v>
      </c>
      <c r="K8" s="202">
        <f>E8*2</f>
        <v>320</v>
      </c>
      <c r="L8" s="203">
        <f>E8</f>
        <v>160</v>
      </c>
      <c r="M8" s="204"/>
      <c r="N8" s="205" t="s">
        <v>453</v>
      </c>
      <c r="O8" s="206"/>
    </row>
    <row r="9" spans="1:15" ht="14.25">
      <c r="A9" s="196" t="s">
        <v>454</v>
      </c>
      <c r="F9" s="199">
        <v>200</v>
      </c>
      <c r="I9" s="196" t="s">
        <v>172</v>
      </c>
      <c r="K9" s="202"/>
      <c r="L9" s="203">
        <f>F9</f>
        <v>200</v>
      </c>
      <c r="M9" s="204"/>
      <c r="N9" s="205" t="s">
        <v>455</v>
      </c>
      <c r="O9" s="206"/>
    </row>
    <row r="10" spans="1:15" ht="14.25">
      <c r="A10" s="196" t="s">
        <v>456</v>
      </c>
      <c r="F10" s="199">
        <v>25000</v>
      </c>
      <c r="H10" s="201">
        <v>30000</v>
      </c>
      <c r="I10" s="196" t="s">
        <v>188</v>
      </c>
      <c r="K10" s="202">
        <f>B10/266</f>
        <v>0</v>
      </c>
      <c r="L10" s="203">
        <f>F10*0.5/266</f>
        <v>46.99248120300752</v>
      </c>
      <c r="M10" s="204">
        <f>H10/(266*3)</f>
        <v>37.59398496240601</v>
      </c>
      <c r="N10" s="205" t="s">
        <v>457</v>
      </c>
      <c r="O10" s="206"/>
    </row>
    <row r="11" spans="1:15" ht="14.25">
      <c r="A11" s="196" t="s">
        <v>458</v>
      </c>
      <c r="C11" s="190">
        <v>38000</v>
      </c>
      <c r="F11" s="199">
        <v>42000</v>
      </c>
      <c r="H11" s="201">
        <v>46500</v>
      </c>
      <c r="I11" s="196" t="s">
        <v>188</v>
      </c>
      <c r="K11" s="202">
        <f>C11*0.5/266</f>
        <v>71.42857142857143</v>
      </c>
      <c r="L11" s="203">
        <f>F11*0.5/266</f>
        <v>78.94736842105263</v>
      </c>
      <c r="M11" s="204">
        <f>H11/(266*3)</f>
        <v>58.27067669172932</v>
      </c>
      <c r="N11" s="205" t="s">
        <v>459</v>
      </c>
      <c r="O11" s="206"/>
    </row>
    <row r="12" spans="1:15" ht="14.25">
      <c r="A12" s="196" t="s">
        <v>460</v>
      </c>
      <c r="C12" s="190">
        <v>30000</v>
      </c>
      <c r="F12" s="199">
        <v>36000</v>
      </c>
      <c r="I12" s="196" t="s">
        <v>188</v>
      </c>
      <c r="K12" s="202">
        <f>C12*0.5/266</f>
        <v>56.390977443609025</v>
      </c>
      <c r="L12" s="203">
        <f>F12*0.5/266</f>
        <v>67.66917293233082</v>
      </c>
      <c r="M12" s="204"/>
      <c r="N12" s="205" t="s">
        <v>461</v>
      </c>
      <c r="O12" s="206"/>
    </row>
    <row r="13" spans="1:15" ht="14.25">
      <c r="A13" s="196" t="s">
        <v>462</v>
      </c>
      <c r="C13" s="190">
        <v>30000</v>
      </c>
      <c r="I13" s="196" t="s">
        <v>188</v>
      </c>
      <c r="K13" s="202">
        <f>C13*0.5/266</f>
        <v>56.390977443609025</v>
      </c>
      <c r="L13" s="203">
        <f>F13*0.5/266</f>
        <v>0</v>
      </c>
      <c r="M13" s="204"/>
      <c r="N13" s="205" t="s">
        <v>463</v>
      </c>
      <c r="O13" s="206"/>
    </row>
    <row r="14" spans="1:15" ht="14.25">
      <c r="A14" s="196" t="s">
        <v>464</v>
      </c>
      <c r="B14" s="197">
        <v>30000</v>
      </c>
      <c r="C14" s="190">
        <v>30000</v>
      </c>
      <c r="D14" s="190" t="s">
        <v>465</v>
      </c>
      <c r="I14" s="196" t="s">
        <v>188</v>
      </c>
      <c r="K14" s="202">
        <f>C14*0.5/266</f>
        <v>56.390977443609025</v>
      </c>
      <c r="L14" s="203">
        <f>E14*0.5/266</f>
        <v>0</v>
      </c>
      <c r="M14" s="204"/>
      <c r="N14" s="205" t="s">
        <v>466</v>
      </c>
      <c r="O14" s="206"/>
    </row>
    <row r="15" spans="1:15" ht="14.25">
      <c r="A15" s="196" t="s">
        <v>467</v>
      </c>
      <c r="C15" s="190">
        <v>35000</v>
      </c>
      <c r="F15" s="199">
        <v>39000</v>
      </c>
      <c r="G15" s="200">
        <v>10000</v>
      </c>
      <c r="I15" s="196" t="s">
        <v>188</v>
      </c>
      <c r="K15" s="202">
        <f>C15*0.5/266</f>
        <v>65.78947368421052</v>
      </c>
      <c r="L15" s="203">
        <f>F15*0.5/266</f>
        <v>73.30827067669173</v>
      </c>
      <c r="M15" s="204"/>
      <c r="N15" s="205" t="s">
        <v>468</v>
      </c>
      <c r="O15" s="206"/>
    </row>
    <row r="16" spans="1:15" ht="14.25">
      <c r="A16" s="196" t="s">
        <v>469</v>
      </c>
      <c r="B16" s="197">
        <v>15000</v>
      </c>
      <c r="C16" s="190">
        <v>25000</v>
      </c>
      <c r="I16" s="196" t="s">
        <v>188</v>
      </c>
      <c r="K16" s="202">
        <f>B16/266</f>
        <v>56.390977443609025</v>
      </c>
      <c r="L16" s="203">
        <f aca="true" t="shared" si="0" ref="L16:L22">E16*0.5/266</f>
        <v>0</v>
      </c>
      <c r="M16" s="204"/>
      <c r="N16" s="205" t="s">
        <v>455</v>
      </c>
      <c r="O16" s="206"/>
    </row>
    <row r="17" spans="1:15" ht="14.25">
      <c r="A17" s="196" t="s">
        <v>470</v>
      </c>
      <c r="B17" s="197">
        <v>15000</v>
      </c>
      <c r="I17" s="196" t="s">
        <v>188</v>
      </c>
      <c r="K17" s="202">
        <f>B17/266</f>
        <v>56.390977443609025</v>
      </c>
      <c r="L17" s="203">
        <f t="shared" si="0"/>
        <v>0</v>
      </c>
      <c r="M17" s="204"/>
      <c r="N17" s="205" t="s">
        <v>455</v>
      </c>
      <c r="O17" s="206"/>
    </row>
    <row r="18" spans="1:15" ht="14.25">
      <c r="A18" s="196" t="s">
        <v>471</v>
      </c>
      <c r="B18" s="197">
        <v>4000</v>
      </c>
      <c r="C18" s="190" t="s">
        <v>472</v>
      </c>
      <c r="I18" s="196" t="s">
        <v>188</v>
      </c>
      <c r="K18" s="202">
        <f>B18/266</f>
        <v>15.037593984962406</v>
      </c>
      <c r="L18" s="203">
        <f t="shared" si="0"/>
        <v>0</v>
      </c>
      <c r="M18" s="204"/>
      <c r="N18" s="205" t="s">
        <v>473</v>
      </c>
      <c r="O18" s="206"/>
    </row>
    <row r="19" spans="1:15" ht="14.25">
      <c r="A19" s="196" t="s">
        <v>474</v>
      </c>
      <c r="C19" s="190">
        <v>94000</v>
      </c>
      <c r="I19" s="196" t="s">
        <v>188</v>
      </c>
      <c r="K19" s="202">
        <f>C19*0.5/266</f>
        <v>176.69172932330827</v>
      </c>
      <c r="L19" s="203">
        <f t="shared" si="0"/>
        <v>0</v>
      </c>
      <c r="M19" s="204"/>
      <c r="N19" s="205" t="s">
        <v>455</v>
      </c>
      <c r="O19" s="206"/>
    </row>
    <row r="20" spans="1:15" ht="14.25">
      <c r="A20" s="196" t="s">
        <v>475</v>
      </c>
      <c r="E20" s="198">
        <v>20000</v>
      </c>
      <c r="G20" s="200">
        <v>6000</v>
      </c>
      <c r="H20" s="201">
        <v>22000</v>
      </c>
      <c r="I20" s="196" t="s">
        <v>188</v>
      </c>
      <c r="K20" s="202">
        <f>B20/266</f>
        <v>0</v>
      </c>
      <c r="L20" s="203">
        <f t="shared" si="0"/>
        <v>37.59398496240601</v>
      </c>
      <c r="M20" s="204">
        <f>H20/(266*3)</f>
        <v>27.56892230576441</v>
      </c>
      <c r="N20" s="205" t="s">
        <v>455</v>
      </c>
      <c r="O20" s="206"/>
    </row>
    <row r="21" spans="1:15" ht="14.25">
      <c r="A21" s="196" t="s">
        <v>476</v>
      </c>
      <c r="C21" s="190">
        <v>910</v>
      </c>
      <c r="I21" s="196" t="s">
        <v>172</v>
      </c>
      <c r="K21" s="202">
        <f>C21*2</f>
        <v>1820</v>
      </c>
      <c r="L21" s="203">
        <f t="shared" si="0"/>
        <v>0</v>
      </c>
      <c r="M21" s="204"/>
      <c r="N21" s="205" t="s">
        <v>455</v>
      </c>
      <c r="O21" s="206"/>
    </row>
    <row r="22" spans="1:15" ht="14.25">
      <c r="A22" s="196" t="s">
        <v>477</v>
      </c>
      <c r="C22" s="190">
        <v>64900</v>
      </c>
      <c r="I22" s="196" t="s">
        <v>188</v>
      </c>
      <c r="K22" s="202">
        <f>C22/266</f>
        <v>243.98496240601503</v>
      </c>
      <c r="L22" s="203">
        <f t="shared" si="0"/>
        <v>0</v>
      </c>
      <c r="M22" s="204"/>
      <c r="N22" s="205" t="s">
        <v>455</v>
      </c>
      <c r="O22" s="206"/>
    </row>
    <row r="23" spans="1:15" ht="14.25">
      <c r="A23" s="196" t="s">
        <v>478</v>
      </c>
      <c r="C23" s="190">
        <v>10000</v>
      </c>
      <c r="I23" s="196" t="s">
        <v>188</v>
      </c>
      <c r="K23" s="202">
        <f>C23/266</f>
        <v>37.59398496240601</v>
      </c>
      <c r="N23" s="205" t="s">
        <v>479</v>
      </c>
      <c r="O23" s="206"/>
    </row>
    <row r="24" spans="1:15" ht="14.25">
      <c r="A24" s="196" t="s">
        <v>480</v>
      </c>
      <c r="B24" s="197" t="s">
        <v>481</v>
      </c>
      <c r="D24" s="190" t="s">
        <v>482</v>
      </c>
      <c r="I24" s="196" t="s">
        <v>188</v>
      </c>
      <c r="N24" s="205" t="s">
        <v>483</v>
      </c>
      <c r="O24" s="206"/>
    </row>
    <row r="25" spans="1:15" ht="14.25">
      <c r="A25" s="196" t="s">
        <v>484</v>
      </c>
      <c r="B25" s="197" t="s">
        <v>485</v>
      </c>
      <c r="I25" s="196" t="s">
        <v>188</v>
      </c>
      <c r="N25" s="205" t="s">
        <v>486</v>
      </c>
      <c r="O25" s="206"/>
    </row>
    <row r="26" spans="1:15" ht="14.25">
      <c r="A26" s="196" t="s">
        <v>487</v>
      </c>
      <c r="B26" s="197" t="s">
        <v>485</v>
      </c>
      <c r="I26" s="196" t="s">
        <v>188</v>
      </c>
      <c r="N26" s="205" t="s">
        <v>488</v>
      </c>
      <c r="O26" s="206"/>
    </row>
    <row r="27" spans="1:15" ht="14.25">
      <c r="A27" s="196" t="s">
        <v>489</v>
      </c>
      <c r="B27" s="197" t="s">
        <v>481</v>
      </c>
      <c r="D27" s="190" t="s">
        <v>482</v>
      </c>
      <c r="I27" s="196" t="s">
        <v>188</v>
      </c>
      <c r="N27" s="205" t="s">
        <v>490</v>
      </c>
      <c r="O27" s="206"/>
    </row>
    <row r="28" spans="1:15" ht="14.25">
      <c r="A28" s="196" t="s">
        <v>491</v>
      </c>
      <c r="B28" s="197" t="s">
        <v>485</v>
      </c>
      <c r="I28" s="196" t="s">
        <v>188</v>
      </c>
      <c r="N28" s="205" t="s">
        <v>492</v>
      </c>
      <c r="O28" s="206"/>
    </row>
    <row r="29" spans="1:15" ht="14.25">
      <c r="A29" s="196" t="s">
        <v>493</v>
      </c>
      <c r="G29" s="200">
        <v>11.84</v>
      </c>
      <c r="I29" s="196" t="s">
        <v>172</v>
      </c>
      <c r="N29" s="205" t="s">
        <v>455</v>
      </c>
      <c r="O29" s="206"/>
    </row>
    <row r="30" spans="1:9" ht="14.25">
      <c r="A30" s="196" t="s">
        <v>494</v>
      </c>
      <c r="G30" s="200">
        <v>28.32</v>
      </c>
      <c r="I30" s="196" t="s">
        <v>172</v>
      </c>
    </row>
    <row r="31" spans="1:14" ht="14.25">
      <c r="A31" s="196" t="s">
        <v>495</v>
      </c>
      <c r="B31" s="197">
        <v>11000</v>
      </c>
      <c r="G31" s="200">
        <v>7000</v>
      </c>
      <c r="H31" s="201">
        <v>24000</v>
      </c>
      <c r="I31" s="196" t="s">
        <v>188</v>
      </c>
      <c r="K31" s="202">
        <f>B31/266</f>
        <v>41.35338345864662</v>
      </c>
      <c r="L31" s="203">
        <f>E31*0.5/266</f>
        <v>0</v>
      </c>
      <c r="M31" s="204">
        <f>H31/(266*3)</f>
        <v>30.075187969924812</v>
      </c>
      <c r="N31" s="190" t="s">
        <v>496</v>
      </c>
    </row>
  </sheetData>
  <sheetProtection/>
  <mergeCells count="4">
    <mergeCell ref="B2:C2"/>
    <mergeCell ref="E2:F2"/>
    <mergeCell ref="J2:M2"/>
    <mergeCell ref="A1:M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9">
      <selection activeCell="I16" sqref="I16"/>
    </sheetView>
  </sheetViews>
  <sheetFormatPr defaultColWidth="10.28125" defaultRowHeight="12.75"/>
  <cols>
    <col min="1" max="3" width="10.28125" style="145" customWidth="1"/>
    <col min="4" max="4" width="15.00390625" style="145" bestFit="1" customWidth="1"/>
    <col min="5" max="5" width="10.28125" style="145" customWidth="1"/>
    <col min="6" max="6" width="26.28125" style="145" bestFit="1" customWidth="1"/>
    <col min="7" max="10" width="10.28125" style="145" customWidth="1"/>
    <col min="11" max="11" width="6.8515625" style="146" bestFit="1" customWidth="1"/>
    <col min="12" max="12" width="13.7109375" style="147" bestFit="1" customWidth="1"/>
    <col min="13" max="13" width="12.7109375" style="148" bestFit="1" customWidth="1"/>
    <col min="14" max="16384" width="10.28125" style="145" customWidth="1"/>
  </cols>
  <sheetData>
    <row r="1" spans="1:10" ht="33">
      <c r="A1" s="265" t="s">
        <v>360</v>
      </c>
      <c r="B1" s="265"/>
      <c r="C1" s="265"/>
      <c r="D1" s="265"/>
      <c r="F1" s="266" t="s">
        <v>361</v>
      </c>
      <c r="G1" s="266"/>
      <c r="H1" s="266"/>
      <c r="I1" s="266"/>
      <c r="J1" s="266"/>
    </row>
    <row r="2" spans="1:13" ht="15">
      <c r="A2" s="149" t="s">
        <v>362</v>
      </c>
      <c r="B2" s="149"/>
      <c r="C2" s="150" t="s">
        <v>161</v>
      </c>
      <c r="D2" s="264" t="s">
        <v>162</v>
      </c>
      <c r="E2" s="264"/>
      <c r="F2" s="264"/>
      <c r="G2" s="152" t="s">
        <v>362</v>
      </c>
      <c r="H2" s="151"/>
      <c r="I2" s="150" t="s">
        <v>161</v>
      </c>
      <c r="J2" s="151" t="s">
        <v>12</v>
      </c>
      <c r="K2" s="146" t="s">
        <v>388</v>
      </c>
      <c r="L2" s="147" t="s">
        <v>297</v>
      </c>
      <c r="M2" s="148" t="s">
        <v>389</v>
      </c>
    </row>
    <row r="3" spans="1:13" ht="14.25">
      <c r="A3" s="153">
        <v>12</v>
      </c>
      <c r="B3" s="153" t="s">
        <v>163</v>
      </c>
      <c r="C3" s="154">
        <v>0.375</v>
      </c>
      <c r="D3" s="147" t="s">
        <v>272</v>
      </c>
      <c r="E3" s="155" t="s">
        <v>276</v>
      </c>
      <c r="F3" s="155" t="s">
        <v>273</v>
      </c>
      <c r="G3" s="156">
        <v>12</v>
      </c>
      <c r="H3" s="157" t="s">
        <v>163</v>
      </c>
      <c r="I3" s="158">
        <v>0.6041666666666666</v>
      </c>
      <c r="J3" s="159"/>
      <c r="K3" s="160"/>
      <c r="L3" s="161"/>
      <c r="M3" s="162"/>
    </row>
    <row r="4" spans="1:10" ht="14.25">
      <c r="A4" s="153"/>
      <c r="B4" s="153"/>
      <c r="C4" s="154"/>
      <c r="D4" s="146" t="s">
        <v>274</v>
      </c>
      <c r="E4" s="163" t="s">
        <v>276</v>
      </c>
      <c r="F4" s="163" t="s">
        <v>275</v>
      </c>
      <c r="G4" s="156"/>
      <c r="H4" s="157"/>
      <c r="I4" s="158"/>
      <c r="J4" s="159"/>
    </row>
    <row r="5" spans="1:13" ht="14.25">
      <c r="A5" s="153"/>
      <c r="B5" s="153"/>
      <c r="C5" s="154"/>
      <c r="D5" s="146" t="s">
        <v>275</v>
      </c>
      <c r="E5" s="163" t="s">
        <v>276</v>
      </c>
      <c r="F5" s="146" t="s">
        <v>274</v>
      </c>
      <c r="G5" s="156"/>
      <c r="H5" s="157"/>
      <c r="I5" s="158"/>
      <c r="J5" s="159"/>
      <c r="K5" s="160"/>
      <c r="L5" s="161"/>
      <c r="M5" s="162"/>
    </row>
    <row r="6" spans="1:10" ht="14.25">
      <c r="A6" s="153">
        <v>13</v>
      </c>
      <c r="B6" s="153" t="s">
        <v>173</v>
      </c>
      <c r="C6" s="154">
        <v>0.25</v>
      </c>
      <c r="D6" s="146" t="s">
        <v>274</v>
      </c>
      <c r="E6" s="163" t="s">
        <v>276</v>
      </c>
      <c r="F6" s="146" t="s">
        <v>277</v>
      </c>
      <c r="G6" s="156"/>
      <c r="H6" s="157"/>
      <c r="I6" s="158"/>
      <c r="J6" s="157"/>
    </row>
    <row r="7" spans="1:13" ht="14.25">
      <c r="A7" s="153"/>
      <c r="B7" s="153"/>
      <c r="C7" s="154"/>
      <c r="D7" s="146" t="s">
        <v>277</v>
      </c>
      <c r="E7" s="163" t="s">
        <v>276</v>
      </c>
      <c r="F7" s="146" t="s">
        <v>274</v>
      </c>
      <c r="G7" s="156">
        <v>13</v>
      </c>
      <c r="H7" s="157" t="s">
        <v>173</v>
      </c>
      <c r="I7" s="158">
        <v>0.75</v>
      </c>
      <c r="J7" s="157"/>
      <c r="K7" s="160"/>
      <c r="L7" s="161"/>
      <c r="M7" s="162"/>
    </row>
    <row r="8" spans="1:10" ht="14.25">
      <c r="A8" s="153"/>
      <c r="B8" s="153"/>
      <c r="C8" s="154"/>
      <c r="D8" s="164" t="s">
        <v>278</v>
      </c>
      <c r="E8" s="165"/>
      <c r="F8" s="164" t="s">
        <v>279</v>
      </c>
      <c r="G8" s="166"/>
      <c r="H8" s="167"/>
      <c r="I8" s="168"/>
      <c r="J8" s="167"/>
    </row>
    <row r="9" spans="1:13" ht="14.25">
      <c r="A9" s="153">
        <v>14</v>
      </c>
      <c r="B9" s="153" t="s">
        <v>166</v>
      </c>
      <c r="C9" s="154">
        <v>0.5</v>
      </c>
      <c r="D9" s="146" t="s">
        <v>274</v>
      </c>
      <c r="E9" s="163" t="s">
        <v>276</v>
      </c>
      <c r="F9" s="146" t="s">
        <v>168</v>
      </c>
      <c r="G9" s="156">
        <v>15</v>
      </c>
      <c r="H9" s="157" t="s">
        <v>167</v>
      </c>
      <c r="I9" s="158">
        <v>0.4583333333333333</v>
      </c>
      <c r="J9" s="159"/>
      <c r="K9" s="160"/>
      <c r="L9" s="161"/>
      <c r="M9" s="162"/>
    </row>
    <row r="10" spans="1:10" ht="14.25">
      <c r="A10" s="153">
        <v>15</v>
      </c>
      <c r="B10" s="153" t="s">
        <v>167</v>
      </c>
      <c r="C10" s="154">
        <v>0.6666666666666666</v>
      </c>
      <c r="D10" s="169" t="s">
        <v>4</v>
      </c>
      <c r="E10" s="170" t="s">
        <v>276</v>
      </c>
      <c r="F10" s="169" t="s">
        <v>280</v>
      </c>
      <c r="G10" s="156">
        <v>15</v>
      </c>
      <c r="H10" s="157" t="s">
        <v>167</v>
      </c>
      <c r="I10" s="158">
        <v>0.875</v>
      </c>
      <c r="J10" s="157"/>
    </row>
    <row r="11" spans="1:13" ht="14.25">
      <c r="A11" s="153">
        <v>16</v>
      </c>
      <c r="B11" s="153" t="s">
        <v>169</v>
      </c>
      <c r="C11" s="154">
        <v>0.1875</v>
      </c>
      <c r="D11" s="169" t="s">
        <v>4</v>
      </c>
      <c r="E11" s="170" t="s">
        <v>276</v>
      </c>
      <c r="F11" s="169" t="s">
        <v>281</v>
      </c>
      <c r="G11" s="156">
        <v>16</v>
      </c>
      <c r="H11" s="157" t="s">
        <v>169</v>
      </c>
      <c r="I11" s="158">
        <v>0.5416666666666666</v>
      </c>
      <c r="J11" s="157"/>
      <c r="K11" s="160"/>
      <c r="L11" s="161"/>
      <c r="M11" s="162"/>
    </row>
    <row r="12" spans="1:10" ht="14.25">
      <c r="A12" s="153"/>
      <c r="B12" s="153"/>
      <c r="C12" s="154"/>
      <c r="D12" s="169" t="s">
        <v>4</v>
      </c>
      <c r="E12" s="170" t="s">
        <v>276</v>
      </c>
      <c r="F12" s="169" t="s">
        <v>282</v>
      </c>
      <c r="G12" s="156"/>
      <c r="H12" s="157"/>
      <c r="I12" s="158"/>
      <c r="J12" s="157"/>
    </row>
    <row r="13" spans="1:13" ht="14.25">
      <c r="A13" s="153">
        <v>17</v>
      </c>
      <c r="B13" s="153" t="s">
        <v>363</v>
      </c>
      <c r="C13" s="154">
        <v>0.3333333333333333</v>
      </c>
      <c r="D13" s="169" t="s">
        <v>4</v>
      </c>
      <c r="E13" s="170" t="s">
        <v>276</v>
      </c>
      <c r="F13" s="169" t="s">
        <v>283</v>
      </c>
      <c r="G13" s="156">
        <v>17</v>
      </c>
      <c r="H13" s="157" t="s">
        <v>363</v>
      </c>
      <c r="I13" s="158">
        <v>0.6666666666666666</v>
      </c>
      <c r="J13" s="157"/>
      <c r="K13" s="160"/>
      <c r="L13" s="161"/>
      <c r="M13" s="162"/>
    </row>
    <row r="14" spans="1:10" ht="14.25">
      <c r="A14" s="153">
        <v>18</v>
      </c>
      <c r="B14" s="153" t="s">
        <v>170</v>
      </c>
      <c r="C14" s="154">
        <v>0.3333333333333333</v>
      </c>
      <c r="D14" s="169" t="s">
        <v>4</v>
      </c>
      <c r="E14" s="170" t="s">
        <v>276</v>
      </c>
      <c r="F14" s="169" t="s">
        <v>284</v>
      </c>
      <c r="G14" s="156">
        <v>20</v>
      </c>
      <c r="H14" s="157" t="s">
        <v>173</v>
      </c>
      <c r="I14" s="158">
        <v>0.625</v>
      </c>
      <c r="J14" s="157"/>
    </row>
    <row r="15" spans="1:13" ht="14.25">
      <c r="A15" s="153">
        <v>20</v>
      </c>
      <c r="B15" s="153" t="s">
        <v>173</v>
      </c>
      <c r="C15" s="154">
        <v>0.8333333333333334</v>
      </c>
      <c r="D15" s="146" t="s">
        <v>284</v>
      </c>
      <c r="E15" s="163" t="s">
        <v>276</v>
      </c>
      <c r="F15" s="146" t="s">
        <v>175</v>
      </c>
      <c r="G15" s="156">
        <v>21</v>
      </c>
      <c r="H15" s="157" t="s">
        <v>166</v>
      </c>
      <c r="I15" s="158">
        <v>0.375</v>
      </c>
      <c r="J15" s="159"/>
      <c r="K15" s="160"/>
      <c r="L15" s="161"/>
      <c r="M15" s="162"/>
    </row>
    <row r="16" spans="1:10" ht="14.25">
      <c r="A16" s="153">
        <v>21</v>
      </c>
      <c r="B16" s="153" t="s">
        <v>166</v>
      </c>
      <c r="C16" s="154">
        <v>0.5</v>
      </c>
      <c r="D16" s="146" t="s">
        <v>175</v>
      </c>
      <c r="E16" s="163" t="s">
        <v>276</v>
      </c>
      <c r="F16" s="146" t="s">
        <v>286</v>
      </c>
      <c r="G16" s="156">
        <v>21</v>
      </c>
      <c r="H16" s="157" t="s">
        <v>166</v>
      </c>
      <c r="I16" s="158">
        <v>0.625</v>
      </c>
      <c r="J16" s="159"/>
    </row>
    <row r="17" spans="1:13" ht="14.25">
      <c r="A17" s="153">
        <v>21</v>
      </c>
      <c r="B17" s="153" t="s">
        <v>166</v>
      </c>
      <c r="C17" s="154">
        <v>0.75</v>
      </c>
      <c r="D17" s="146" t="s">
        <v>179</v>
      </c>
      <c r="E17" s="163" t="s">
        <v>276</v>
      </c>
      <c r="F17" s="146" t="s">
        <v>175</v>
      </c>
      <c r="G17" s="156">
        <v>21</v>
      </c>
      <c r="H17" s="157" t="s">
        <v>166</v>
      </c>
      <c r="I17" s="158">
        <v>0.875</v>
      </c>
      <c r="J17" s="159"/>
      <c r="K17" s="160"/>
      <c r="L17" s="161"/>
      <c r="M17" s="162"/>
    </row>
    <row r="18" spans="1:10" ht="14.25">
      <c r="A18" s="153">
        <v>22</v>
      </c>
      <c r="B18" s="153" t="s">
        <v>167</v>
      </c>
      <c r="C18" s="154">
        <v>0.3333333333333333</v>
      </c>
      <c r="D18" s="171" t="s">
        <v>175</v>
      </c>
      <c r="E18" s="172" t="s">
        <v>276</v>
      </c>
      <c r="F18" s="171" t="s">
        <v>337</v>
      </c>
      <c r="G18" s="156"/>
      <c r="H18" s="157"/>
      <c r="I18" s="158">
        <v>0.5416666666666666</v>
      </c>
      <c r="J18" s="159"/>
    </row>
    <row r="19" spans="1:13" ht="14.25">
      <c r="A19" s="153">
        <v>22</v>
      </c>
      <c r="B19" s="153" t="s">
        <v>167</v>
      </c>
      <c r="C19" s="154">
        <v>0.5416666666666666</v>
      </c>
      <c r="D19" s="146" t="s">
        <v>175</v>
      </c>
      <c r="E19" s="163" t="s">
        <v>276</v>
      </c>
      <c r="F19" s="146" t="s">
        <v>176</v>
      </c>
      <c r="G19" s="156"/>
      <c r="H19" s="157"/>
      <c r="I19" s="158">
        <v>0.6666666666666666</v>
      </c>
      <c r="J19" s="159"/>
      <c r="K19" s="160"/>
      <c r="L19" s="161"/>
      <c r="M19" s="162"/>
    </row>
    <row r="20" spans="1:10" ht="14.25">
      <c r="A20" s="153">
        <v>23</v>
      </c>
      <c r="B20" s="153" t="s">
        <v>169</v>
      </c>
      <c r="C20" s="154"/>
      <c r="D20" s="146" t="s">
        <v>176</v>
      </c>
      <c r="E20" s="163" t="s">
        <v>276</v>
      </c>
      <c r="F20" s="146" t="s">
        <v>290</v>
      </c>
      <c r="G20" s="156"/>
      <c r="H20" s="157"/>
      <c r="I20" s="158"/>
      <c r="J20" s="157"/>
    </row>
    <row r="21" spans="1:13" ht="14.25">
      <c r="A21" s="153"/>
      <c r="B21" s="153"/>
      <c r="C21" s="154"/>
      <c r="D21" s="173"/>
      <c r="E21" s="174"/>
      <c r="F21" s="169" t="s">
        <v>291</v>
      </c>
      <c r="G21" s="175"/>
      <c r="H21" s="176"/>
      <c r="I21" s="177"/>
      <c r="J21" s="167"/>
      <c r="K21" s="160"/>
      <c r="L21" s="161"/>
      <c r="M21" s="162"/>
    </row>
    <row r="22" spans="1:10" ht="14.25">
      <c r="A22" s="153"/>
      <c r="B22" s="153"/>
      <c r="C22" s="154"/>
      <c r="D22" s="146" t="s">
        <v>289</v>
      </c>
      <c r="E22" s="163" t="s">
        <v>276</v>
      </c>
      <c r="F22" s="146" t="s">
        <v>176</v>
      </c>
      <c r="G22" s="156"/>
      <c r="H22" s="157"/>
      <c r="I22" s="158"/>
      <c r="J22" s="157"/>
    </row>
    <row r="23" spans="1:13" ht="14.25">
      <c r="A23" s="153">
        <v>23</v>
      </c>
      <c r="B23" s="153" t="s">
        <v>169</v>
      </c>
      <c r="C23" s="154">
        <v>0.7083333333333334</v>
      </c>
      <c r="D23" s="146" t="s">
        <v>176</v>
      </c>
      <c r="E23" s="163" t="s">
        <v>276</v>
      </c>
      <c r="F23" s="146" t="s">
        <v>177</v>
      </c>
      <c r="G23" s="156"/>
      <c r="H23" s="157"/>
      <c r="I23" s="158">
        <v>0.8125</v>
      </c>
      <c r="J23" s="159"/>
      <c r="K23" s="160"/>
      <c r="L23" s="161"/>
      <c r="M23" s="162"/>
    </row>
    <row r="24" spans="1:10" ht="14.25">
      <c r="A24" s="153">
        <v>24</v>
      </c>
      <c r="B24" s="153" t="s">
        <v>363</v>
      </c>
      <c r="C24" s="154"/>
      <c r="D24" s="169" t="s">
        <v>177</v>
      </c>
      <c r="E24" s="170" t="s">
        <v>276</v>
      </c>
      <c r="F24" s="169" t="s">
        <v>366</v>
      </c>
      <c r="G24" s="178"/>
      <c r="H24" s="153"/>
      <c r="I24" s="154"/>
      <c r="J24" s="153"/>
    </row>
    <row r="25" spans="1:13" ht="14.25">
      <c r="A25" s="153">
        <v>24</v>
      </c>
      <c r="B25" s="153" t="s">
        <v>363</v>
      </c>
      <c r="C25" s="154">
        <v>0.5416666666666666</v>
      </c>
      <c r="D25" s="179" t="s">
        <v>177</v>
      </c>
      <c r="E25" s="180" t="s">
        <v>276</v>
      </c>
      <c r="F25" s="179" t="s">
        <v>338</v>
      </c>
      <c r="G25" s="156"/>
      <c r="H25" s="157"/>
      <c r="I25" s="158">
        <v>0.75</v>
      </c>
      <c r="J25" s="159"/>
      <c r="K25" s="160"/>
      <c r="L25" s="161"/>
      <c r="M25" s="162"/>
    </row>
    <row r="26" spans="1:10" ht="14.25">
      <c r="A26" s="153">
        <v>25</v>
      </c>
      <c r="B26" s="153" t="s">
        <v>170</v>
      </c>
      <c r="C26" s="154"/>
      <c r="D26" s="179" t="s">
        <v>338</v>
      </c>
      <c r="E26" s="180" t="s">
        <v>276</v>
      </c>
      <c r="F26" s="179" t="s">
        <v>340</v>
      </c>
      <c r="G26" s="156"/>
      <c r="H26" s="157"/>
      <c r="I26" s="158"/>
      <c r="J26" s="159"/>
    </row>
    <row r="27" spans="1:13" ht="14.25">
      <c r="A27" s="153">
        <v>25</v>
      </c>
      <c r="B27" s="153" t="s">
        <v>170</v>
      </c>
      <c r="C27" s="154"/>
      <c r="D27" s="146" t="s">
        <v>340</v>
      </c>
      <c r="E27" s="163" t="s">
        <v>276</v>
      </c>
      <c r="F27" s="146" t="s">
        <v>339</v>
      </c>
      <c r="G27" s="156"/>
      <c r="H27" s="157"/>
      <c r="I27" s="158"/>
      <c r="J27" s="159"/>
      <c r="K27" s="160"/>
      <c r="L27" s="161"/>
      <c r="M27" s="162"/>
    </row>
    <row r="28" spans="1:10" ht="14.25">
      <c r="A28" s="153">
        <v>25</v>
      </c>
      <c r="B28" s="153" t="s">
        <v>170</v>
      </c>
      <c r="C28" s="154"/>
      <c r="D28" s="146" t="s">
        <v>339</v>
      </c>
      <c r="E28" s="163" t="s">
        <v>276</v>
      </c>
      <c r="F28" s="146" t="s">
        <v>340</v>
      </c>
      <c r="G28" s="156"/>
      <c r="H28" s="157"/>
      <c r="I28" s="158"/>
      <c r="J28" s="159"/>
    </row>
    <row r="29" spans="1:13" ht="14.25">
      <c r="A29" s="153">
        <v>25</v>
      </c>
      <c r="B29" s="153" t="s">
        <v>170</v>
      </c>
      <c r="C29" s="154"/>
      <c r="D29" s="146" t="s">
        <v>340</v>
      </c>
      <c r="E29" s="163" t="s">
        <v>276</v>
      </c>
      <c r="F29" s="146" t="s">
        <v>338</v>
      </c>
      <c r="G29" s="156"/>
      <c r="H29" s="157"/>
      <c r="I29" s="158"/>
      <c r="J29" s="159"/>
      <c r="K29" s="160"/>
      <c r="L29" s="161"/>
      <c r="M29" s="162"/>
    </row>
    <row r="30" spans="1:10" ht="14.25">
      <c r="A30" s="153">
        <v>25</v>
      </c>
      <c r="B30" s="153" t="s">
        <v>170</v>
      </c>
      <c r="C30" s="154"/>
      <c r="D30" s="146" t="s">
        <v>338</v>
      </c>
      <c r="E30" s="163" t="s">
        <v>276</v>
      </c>
      <c r="F30" s="146" t="s">
        <v>175</v>
      </c>
      <c r="G30" s="156"/>
      <c r="H30" s="157"/>
      <c r="I30" s="158"/>
      <c r="J30" s="159"/>
    </row>
    <row r="31" spans="1:13" ht="14.25">
      <c r="A31" s="153">
        <v>26</v>
      </c>
      <c r="B31" s="153" t="s">
        <v>163</v>
      </c>
      <c r="C31" s="154">
        <v>0.3958333333333333</v>
      </c>
      <c r="D31" s="146" t="s">
        <v>175</v>
      </c>
      <c r="E31" s="163" t="s">
        <v>276</v>
      </c>
      <c r="F31" s="146" t="s">
        <v>341</v>
      </c>
      <c r="G31" s="156">
        <v>26</v>
      </c>
      <c r="H31" s="157" t="s">
        <v>163</v>
      </c>
      <c r="I31" s="158">
        <v>0.020833333333333332</v>
      </c>
      <c r="J31" s="159"/>
      <c r="K31" s="160"/>
      <c r="L31" s="161"/>
      <c r="M31" s="162"/>
    </row>
    <row r="32" spans="1:10" ht="14.25">
      <c r="A32" s="153">
        <v>28</v>
      </c>
      <c r="B32" s="153" t="s">
        <v>166</v>
      </c>
      <c r="C32" s="154">
        <v>0.16666666666666666</v>
      </c>
      <c r="D32" s="146" t="s">
        <v>343</v>
      </c>
      <c r="E32" s="163" t="s">
        <v>276</v>
      </c>
      <c r="F32" s="146" t="s">
        <v>344</v>
      </c>
      <c r="G32" s="156">
        <v>28</v>
      </c>
      <c r="H32" s="157" t="s">
        <v>166</v>
      </c>
      <c r="I32" s="158">
        <v>0.22916666666666666</v>
      </c>
      <c r="J32" s="157"/>
    </row>
    <row r="33" spans="1:13" ht="14.25">
      <c r="A33" s="153">
        <v>28</v>
      </c>
      <c r="B33" s="153" t="s">
        <v>166</v>
      </c>
      <c r="C33" s="154">
        <v>0.375</v>
      </c>
      <c r="D33" s="146" t="s">
        <v>347</v>
      </c>
      <c r="E33" s="163" t="s">
        <v>276</v>
      </c>
      <c r="F33" s="146" t="s">
        <v>288</v>
      </c>
      <c r="G33" s="156">
        <v>28</v>
      </c>
      <c r="H33" s="157" t="s">
        <v>166</v>
      </c>
      <c r="I33" s="158">
        <v>0.5625</v>
      </c>
      <c r="J33" s="157"/>
      <c r="K33" s="160"/>
      <c r="L33" s="161"/>
      <c r="M33" s="162"/>
    </row>
    <row r="34" spans="1:10" ht="14.25">
      <c r="A34" s="153">
        <v>28</v>
      </c>
      <c r="B34" s="153" t="s">
        <v>166</v>
      </c>
      <c r="C34" s="154"/>
      <c r="D34" s="169" t="s">
        <v>288</v>
      </c>
      <c r="E34" s="170" t="s">
        <v>276</v>
      </c>
      <c r="F34" s="169" t="s">
        <v>345</v>
      </c>
      <c r="G34" s="156"/>
      <c r="H34" s="157"/>
      <c r="I34" s="158"/>
      <c r="J34" s="157"/>
    </row>
    <row r="35" spans="1:13" ht="14.25">
      <c r="A35" s="153">
        <v>29</v>
      </c>
      <c r="B35" s="153" t="s">
        <v>167</v>
      </c>
      <c r="C35" s="154" t="s">
        <v>365</v>
      </c>
      <c r="D35" s="169" t="s">
        <v>288</v>
      </c>
      <c r="E35" s="170" t="s">
        <v>276</v>
      </c>
      <c r="F35" s="169" t="s">
        <v>346</v>
      </c>
      <c r="G35" s="156"/>
      <c r="H35" s="181"/>
      <c r="I35" s="158"/>
      <c r="J35" s="157"/>
      <c r="K35" s="160"/>
      <c r="L35" s="161"/>
      <c r="M35" s="162"/>
    </row>
    <row r="36" spans="1:10" ht="14.25">
      <c r="A36" s="153">
        <v>29</v>
      </c>
      <c r="B36" s="153" t="s">
        <v>167</v>
      </c>
      <c r="C36" s="154"/>
      <c r="D36" s="169" t="s">
        <v>288</v>
      </c>
      <c r="E36" s="170" t="s">
        <v>276</v>
      </c>
      <c r="F36" s="169" t="s">
        <v>355</v>
      </c>
      <c r="G36" s="156"/>
      <c r="H36" s="181"/>
      <c r="I36" s="158"/>
      <c r="J36" s="157"/>
    </row>
    <row r="37" spans="1:13" ht="14.25">
      <c r="A37" s="153">
        <v>30</v>
      </c>
      <c r="B37" s="153" t="s">
        <v>169</v>
      </c>
      <c r="C37" s="154">
        <v>0.25</v>
      </c>
      <c r="D37" s="146" t="s">
        <v>288</v>
      </c>
      <c r="E37" s="163" t="s">
        <v>276</v>
      </c>
      <c r="F37" s="146" t="s">
        <v>255</v>
      </c>
      <c r="G37" s="156">
        <v>30</v>
      </c>
      <c r="H37" s="157" t="s">
        <v>169</v>
      </c>
      <c r="I37" s="158">
        <v>0.5</v>
      </c>
      <c r="J37" s="157"/>
      <c r="K37" s="160"/>
      <c r="L37" s="161"/>
      <c r="M37" s="162"/>
    </row>
    <row r="38" spans="1:13" ht="14.25">
      <c r="A38" s="153">
        <v>30</v>
      </c>
      <c r="B38" s="153" t="s">
        <v>169</v>
      </c>
      <c r="C38" s="154">
        <v>0.5972222222222222</v>
      </c>
      <c r="D38" s="146" t="s">
        <v>255</v>
      </c>
      <c r="E38" s="163" t="s">
        <v>276</v>
      </c>
      <c r="F38" s="146" t="s">
        <v>256</v>
      </c>
      <c r="G38" s="156">
        <v>30</v>
      </c>
      <c r="H38" s="157" t="s">
        <v>169</v>
      </c>
      <c r="I38" s="158">
        <v>0.8256944444444444</v>
      </c>
      <c r="J38" s="157"/>
      <c r="K38" s="160"/>
      <c r="L38" s="161"/>
      <c r="M38" s="162"/>
    </row>
  </sheetData>
  <sheetProtection/>
  <mergeCells count="3">
    <mergeCell ref="D2:F2"/>
    <mergeCell ref="A1:D1"/>
    <mergeCell ref="F1:J1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2"/>
  <sheetViews>
    <sheetView zoomScale="75" zoomScaleNormal="75" zoomScalePageLayoutView="0" workbookViewId="0" topLeftCell="A1">
      <selection activeCell="E74" sqref="E74"/>
    </sheetView>
  </sheetViews>
  <sheetFormatPr defaultColWidth="9.140625" defaultRowHeight="12.75"/>
  <cols>
    <col min="1" max="1" width="9.28125" style="1" customWidth="1"/>
    <col min="2" max="2" width="10.00390625" style="2" customWidth="1"/>
    <col min="3" max="3" width="10.28125" style="2" customWidth="1"/>
    <col min="4" max="4" width="44.140625" style="2" customWidth="1"/>
    <col min="5" max="5" width="22.421875" style="0" customWidth="1"/>
    <col min="6" max="6" width="11.8515625" style="0" customWidth="1"/>
    <col min="7" max="7" width="8.8515625" style="0" customWidth="1"/>
    <col min="8" max="8" width="13.28125" style="3" customWidth="1"/>
    <col min="9" max="9" width="10.7109375" style="3" customWidth="1"/>
    <col min="10" max="10" width="8.28125" style="0" customWidth="1"/>
    <col min="11" max="12" width="12.421875" style="4" customWidth="1"/>
    <col min="13" max="13" width="9.140625" style="5" customWidth="1"/>
    <col min="14" max="14" width="113.421875" style="0" customWidth="1"/>
  </cols>
  <sheetData>
    <row r="1" spans="1:14" ht="33.75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s="8" customFormat="1" ht="12.75">
      <c r="A2" s="6"/>
      <c r="B2" s="7"/>
      <c r="C2" s="7"/>
      <c r="D2" s="7"/>
      <c r="F2" s="8" t="s">
        <v>1</v>
      </c>
      <c r="H2" s="9" t="s">
        <v>2</v>
      </c>
      <c r="I2" s="9"/>
      <c r="K2" s="10"/>
      <c r="L2" s="10"/>
      <c r="M2" s="11"/>
      <c r="N2" s="8" t="s">
        <v>3</v>
      </c>
    </row>
    <row r="3" spans="1:13" s="8" customFormat="1" ht="53.25" customHeight="1">
      <c r="A3" s="6" t="s">
        <v>4</v>
      </c>
      <c r="B3" s="7" t="s">
        <v>5</v>
      </c>
      <c r="C3" s="7" t="s">
        <v>6</v>
      </c>
      <c r="D3" s="7" t="s">
        <v>7</v>
      </c>
      <c r="E3" s="8" t="s">
        <v>8</v>
      </c>
      <c r="F3" s="8" t="s">
        <v>9</v>
      </c>
      <c r="G3" s="12" t="s">
        <v>10</v>
      </c>
      <c r="H3" s="9" t="s">
        <v>11</v>
      </c>
      <c r="I3" s="9" t="s">
        <v>12</v>
      </c>
      <c r="J3" s="8" t="s">
        <v>13</v>
      </c>
      <c r="K3" s="10" t="s">
        <v>14</v>
      </c>
      <c r="L3" s="10" t="s">
        <v>15</v>
      </c>
      <c r="M3" s="11"/>
    </row>
    <row r="4" spans="1:14" ht="85.5" customHeight="1">
      <c r="A4" s="13">
        <v>1</v>
      </c>
      <c r="B4" s="14" t="s">
        <v>16</v>
      </c>
      <c r="C4" s="15" t="s">
        <v>17</v>
      </c>
      <c r="D4" s="16" t="s">
        <v>18</v>
      </c>
      <c r="E4" s="17" t="s">
        <v>19</v>
      </c>
      <c r="F4" s="18">
        <v>2500</v>
      </c>
      <c r="G4" s="19">
        <f>F4/266</f>
        <v>9.398496240601503</v>
      </c>
      <c r="H4" s="20">
        <v>8000</v>
      </c>
      <c r="I4" s="19">
        <f>H4/266</f>
        <v>30.075187969924812</v>
      </c>
      <c r="J4" s="21" t="s">
        <v>20</v>
      </c>
      <c r="K4" s="22">
        <v>0.6666666666666666</v>
      </c>
      <c r="L4" s="23" t="s">
        <v>21</v>
      </c>
      <c r="M4" s="279" t="s">
        <v>22</v>
      </c>
      <c r="N4" s="21" t="s">
        <v>23</v>
      </c>
    </row>
    <row r="5" spans="1:14" ht="12.75">
      <c r="A5" s="24">
        <v>2</v>
      </c>
      <c r="B5" s="25">
        <v>97</v>
      </c>
      <c r="C5" s="26" t="s">
        <v>24</v>
      </c>
      <c r="D5" s="16" t="s">
        <v>25</v>
      </c>
      <c r="E5" s="17" t="s">
        <v>26</v>
      </c>
      <c r="F5" s="18">
        <v>3500</v>
      </c>
      <c r="G5" s="19">
        <f aca="true" t="shared" si="0" ref="G5:G43">F5/266</f>
        <v>13.157894736842104</v>
      </c>
      <c r="H5" s="18">
        <v>18500</v>
      </c>
      <c r="I5" s="19">
        <f aca="true" t="shared" si="1" ref="I5:I48">H5/266</f>
        <v>69.54887218045113</v>
      </c>
      <c r="J5" s="21" t="s">
        <v>27</v>
      </c>
      <c r="K5" s="22">
        <v>4.166666666666667</v>
      </c>
      <c r="L5" s="23" t="s">
        <v>28</v>
      </c>
      <c r="M5" s="279"/>
      <c r="N5" s="27" t="s">
        <v>29</v>
      </c>
    </row>
    <row r="6" spans="1:14" ht="48.75" customHeight="1">
      <c r="A6" s="24" t="s">
        <v>30</v>
      </c>
      <c r="B6" s="25"/>
      <c r="C6" s="26" t="s">
        <v>24</v>
      </c>
      <c r="D6" s="28" t="s">
        <v>31</v>
      </c>
      <c r="E6" s="26" t="s">
        <v>32</v>
      </c>
      <c r="F6" s="18">
        <v>5000</v>
      </c>
      <c r="G6" s="19">
        <f t="shared" si="0"/>
        <v>18.796992481203006</v>
      </c>
      <c r="H6" s="20">
        <v>30000</v>
      </c>
      <c r="I6" s="29">
        <f t="shared" si="1"/>
        <v>112.78195488721805</v>
      </c>
      <c r="J6" s="21" t="s">
        <v>33</v>
      </c>
      <c r="K6" s="22" t="s">
        <v>34</v>
      </c>
      <c r="L6" s="23"/>
      <c r="M6" s="279"/>
      <c r="N6" s="21" t="s">
        <v>35</v>
      </c>
    </row>
    <row r="7" spans="1:14" ht="12.75" customHeight="1">
      <c r="A7" s="24" t="s">
        <v>36</v>
      </c>
      <c r="B7" s="25">
        <v>30</v>
      </c>
      <c r="C7" s="26" t="s">
        <v>37</v>
      </c>
      <c r="D7" s="16" t="s">
        <v>38</v>
      </c>
      <c r="E7" s="17" t="s">
        <v>39</v>
      </c>
      <c r="F7" s="18">
        <v>2000</v>
      </c>
      <c r="G7" s="19">
        <f t="shared" si="0"/>
        <v>7.518796992481203</v>
      </c>
      <c r="H7" s="20">
        <v>14000</v>
      </c>
      <c r="I7" s="29">
        <f t="shared" si="1"/>
        <v>52.63157894736842</v>
      </c>
      <c r="J7" s="21"/>
      <c r="K7" s="22"/>
      <c r="L7" s="23"/>
      <c r="M7" s="279"/>
      <c r="N7" s="27" t="s">
        <v>40</v>
      </c>
    </row>
    <row r="8" spans="1:14" ht="12.75">
      <c r="A8" s="24" t="s">
        <v>41</v>
      </c>
      <c r="B8" s="25"/>
      <c r="C8" s="26"/>
      <c r="D8" s="16" t="s">
        <v>42</v>
      </c>
      <c r="E8" s="17" t="s">
        <v>43</v>
      </c>
      <c r="F8" s="18"/>
      <c r="G8" s="19">
        <f t="shared" si="0"/>
        <v>0</v>
      </c>
      <c r="H8" s="20">
        <v>25000</v>
      </c>
      <c r="I8" s="19">
        <f t="shared" si="1"/>
        <v>93.98496240601504</v>
      </c>
      <c r="J8" s="21"/>
      <c r="K8" s="22"/>
      <c r="L8" s="23"/>
      <c r="M8" s="279"/>
      <c r="N8" s="21"/>
    </row>
    <row r="9" spans="1:14" ht="12.75">
      <c r="A9" s="24" t="s">
        <v>44</v>
      </c>
      <c r="B9" s="25">
        <v>140</v>
      </c>
      <c r="C9" s="26"/>
      <c r="D9" s="16" t="s">
        <v>45</v>
      </c>
      <c r="E9" s="17" t="s">
        <v>46</v>
      </c>
      <c r="F9" s="18">
        <v>10000</v>
      </c>
      <c r="G9" s="19">
        <f t="shared" si="0"/>
        <v>37.59398496240601</v>
      </c>
      <c r="H9" s="18">
        <v>20000</v>
      </c>
      <c r="I9" s="19">
        <f t="shared" si="1"/>
        <v>75.18796992481202</v>
      </c>
      <c r="J9" s="21" t="s">
        <v>47</v>
      </c>
      <c r="K9" s="22" t="s">
        <v>48</v>
      </c>
      <c r="L9" s="23" t="s">
        <v>49</v>
      </c>
      <c r="M9" s="279"/>
      <c r="N9" s="21"/>
    </row>
    <row r="10" spans="1:14" ht="12.75">
      <c r="A10" s="24"/>
      <c r="B10" s="25"/>
      <c r="C10" s="26"/>
      <c r="D10" s="16"/>
      <c r="E10" s="17"/>
      <c r="F10" s="18">
        <f>SUM(F4:F9)</f>
        <v>23000</v>
      </c>
      <c r="G10" s="19">
        <f t="shared" si="0"/>
        <v>86.46616541353383</v>
      </c>
      <c r="H10" s="18">
        <f>SUM(H4:H9)</f>
        <v>115500</v>
      </c>
      <c r="I10" s="19">
        <f t="shared" si="1"/>
        <v>434.2105263157895</v>
      </c>
      <c r="J10" s="30"/>
      <c r="K10" s="22"/>
      <c r="L10" s="23"/>
      <c r="M10" s="279"/>
      <c r="N10" s="21"/>
    </row>
    <row r="11" spans="1:14" ht="12.75">
      <c r="A11" s="24"/>
      <c r="B11" s="25"/>
      <c r="C11" s="26"/>
      <c r="D11" s="16"/>
      <c r="E11" s="17"/>
      <c r="F11" s="18"/>
      <c r="G11" s="19">
        <f t="shared" si="0"/>
        <v>0</v>
      </c>
      <c r="H11" s="18"/>
      <c r="I11" s="19">
        <f t="shared" si="1"/>
        <v>0</v>
      </c>
      <c r="J11" s="21"/>
      <c r="K11" s="22"/>
      <c r="L11" s="23"/>
      <c r="M11" s="31"/>
      <c r="N11" s="21"/>
    </row>
    <row r="12" spans="1:14" ht="12.75">
      <c r="A12" s="24" t="s">
        <v>50</v>
      </c>
      <c r="B12" s="25">
        <v>150</v>
      </c>
      <c r="C12" s="26" t="s">
        <v>24</v>
      </c>
      <c r="D12" s="16" t="s">
        <v>51</v>
      </c>
      <c r="E12" s="17" t="s">
        <v>52</v>
      </c>
      <c r="F12" s="18">
        <v>5000</v>
      </c>
      <c r="G12" s="19">
        <f t="shared" si="0"/>
        <v>18.796992481203006</v>
      </c>
      <c r="H12" s="18">
        <v>34000</v>
      </c>
      <c r="I12" s="19">
        <f t="shared" si="1"/>
        <v>127.81954887218045</v>
      </c>
      <c r="J12" s="21"/>
      <c r="K12" s="22"/>
      <c r="L12" s="23"/>
      <c r="M12" s="31"/>
      <c r="N12" s="21"/>
    </row>
    <row r="13" spans="1:14" ht="12.75" customHeight="1">
      <c r="A13" s="24" t="s">
        <v>53</v>
      </c>
      <c r="B13" s="25">
        <v>140</v>
      </c>
      <c r="C13" s="26" t="s">
        <v>24</v>
      </c>
      <c r="D13" s="28" t="s">
        <v>54</v>
      </c>
      <c r="E13" s="17" t="s">
        <v>55</v>
      </c>
      <c r="F13" s="18" t="s">
        <v>56</v>
      </c>
      <c r="G13" s="19" t="e">
        <f t="shared" si="0"/>
        <v>#VALUE!</v>
      </c>
      <c r="H13" s="18">
        <v>34000</v>
      </c>
      <c r="I13" s="19">
        <f t="shared" si="1"/>
        <v>127.81954887218045</v>
      </c>
      <c r="J13" s="21" t="s">
        <v>57</v>
      </c>
      <c r="K13" s="22" t="s">
        <v>34</v>
      </c>
      <c r="L13" s="23" t="s">
        <v>58</v>
      </c>
      <c r="M13" s="279" t="s">
        <v>59</v>
      </c>
      <c r="N13" s="27" t="s">
        <v>60</v>
      </c>
    </row>
    <row r="14" spans="1:14" ht="12.75">
      <c r="A14" s="24" t="s">
        <v>61</v>
      </c>
      <c r="B14" s="25"/>
      <c r="C14" s="26"/>
      <c r="D14" s="32" t="s">
        <v>62</v>
      </c>
      <c r="E14" s="17" t="s">
        <v>63</v>
      </c>
      <c r="F14" s="18">
        <v>10000</v>
      </c>
      <c r="G14" s="19">
        <f t="shared" si="0"/>
        <v>37.59398496240601</v>
      </c>
      <c r="H14" s="18">
        <v>25000</v>
      </c>
      <c r="I14" s="19">
        <f t="shared" si="1"/>
        <v>93.98496240601504</v>
      </c>
      <c r="J14" s="21" t="s">
        <v>64</v>
      </c>
      <c r="K14" s="22" t="s">
        <v>34</v>
      </c>
      <c r="L14" s="23" t="s">
        <v>65</v>
      </c>
      <c r="M14" s="279"/>
      <c r="N14" s="27" t="s">
        <v>66</v>
      </c>
    </row>
    <row r="15" spans="1:14" ht="12.75">
      <c r="A15" s="24" t="s">
        <v>67</v>
      </c>
      <c r="B15" s="25">
        <v>70</v>
      </c>
      <c r="C15" s="15" t="s">
        <v>68</v>
      </c>
      <c r="D15" s="16" t="s">
        <v>69</v>
      </c>
      <c r="E15" s="17" t="s">
        <v>70</v>
      </c>
      <c r="F15" s="18" t="s">
        <v>71</v>
      </c>
      <c r="G15" s="19" t="e">
        <f t="shared" si="0"/>
        <v>#VALUE!</v>
      </c>
      <c r="H15" s="33">
        <v>45000</v>
      </c>
      <c r="I15" s="19">
        <f t="shared" si="1"/>
        <v>169.17293233082708</v>
      </c>
      <c r="J15" s="21" t="s">
        <v>72</v>
      </c>
      <c r="K15" s="22" t="s">
        <v>73</v>
      </c>
      <c r="L15" s="23" t="s">
        <v>74</v>
      </c>
      <c r="M15" s="279"/>
      <c r="N15" s="27" t="s">
        <v>75</v>
      </c>
    </row>
    <row r="16" spans="1:14" ht="12.75">
      <c r="A16" s="24" t="s">
        <v>76</v>
      </c>
      <c r="B16" s="25"/>
      <c r="C16" s="26"/>
      <c r="D16" s="16" t="s">
        <v>77</v>
      </c>
      <c r="E16" s="17" t="s">
        <v>78</v>
      </c>
      <c r="F16" s="18"/>
      <c r="G16" s="19">
        <f t="shared" si="0"/>
        <v>0</v>
      </c>
      <c r="H16" s="33">
        <v>60000</v>
      </c>
      <c r="I16" s="29">
        <f t="shared" si="1"/>
        <v>225.5639097744361</v>
      </c>
      <c r="J16" s="21" t="s">
        <v>79</v>
      </c>
      <c r="K16" s="22" t="s">
        <v>34</v>
      </c>
      <c r="L16" s="23" t="s">
        <v>80</v>
      </c>
      <c r="M16" s="279"/>
      <c r="N16" s="27" t="s">
        <v>81</v>
      </c>
    </row>
    <row r="17" spans="1:14" ht="24">
      <c r="A17" s="24" t="s">
        <v>82</v>
      </c>
      <c r="B17" s="25"/>
      <c r="C17" s="26"/>
      <c r="D17" s="16" t="s">
        <v>83</v>
      </c>
      <c r="E17" s="17" t="s">
        <v>84</v>
      </c>
      <c r="F17" s="18"/>
      <c r="G17" s="19">
        <f t="shared" si="0"/>
        <v>0</v>
      </c>
      <c r="H17" s="33">
        <v>85000</v>
      </c>
      <c r="I17" s="29">
        <f t="shared" si="1"/>
        <v>319.54887218045116</v>
      </c>
      <c r="J17" s="21" t="s">
        <v>85</v>
      </c>
      <c r="K17" s="22" t="s">
        <v>86</v>
      </c>
      <c r="L17" s="23" t="s">
        <v>87</v>
      </c>
      <c r="M17" s="279"/>
      <c r="N17" s="34" t="s">
        <v>88</v>
      </c>
    </row>
    <row r="18" spans="1:14" ht="38.25">
      <c r="A18" s="24" t="s">
        <v>89</v>
      </c>
      <c r="B18" s="25"/>
      <c r="C18" s="26"/>
      <c r="D18" s="32" t="s">
        <v>90</v>
      </c>
      <c r="E18" s="17" t="s">
        <v>91</v>
      </c>
      <c r="F18" s="18"/>
      <c r="G18" s="19">
        <f t="shared" si="0"/>
        <v>0</v>
      </c>
      <c r="H18" s="33">
        <v>90000</v>
      </c>
      <c r="I18" s="29">
        <f t="shared" si="1"/>
        <v>338.34586466165416</v>
      </c>
      <c r="J18" s="21" t="s">
        <v>92</v>
      </c>
      <c r="K18" s="22" t="s">
        <v>93</v>
      </c>
      <c r="L18" s="23" t="s">
        <v>94</v>
      </c>
      <c r="M18" s="279"/>
      <c r="N18" s="25" t="s">
        <v>95</v>
      </c>
    </row>
    <row r="19" spans="1:14" ht="12.75">
      <c r="A19" s="24"/>
      <c r="B19" s="25"/>
      <c r="C19" s="26"/>
      <c r="D19" s="16"/>
      <c r="E19" s="17"/>
      <c r="F19" s="18"/>
      <c r="G19" s="19">
        <f t="shared" si="0"/>
        <v>0</v>
      </c>
      <c r="H19" s="18"/>
      <c r="I19" s="19">
        <f t="shared" si="1"/>
        <v>0</v>
      </c>
      <c r="J19" s="21"/>
      <c r="K19" s="22"/>
      <c r="L19" s="23"/>
      <c r="M19" s="31"/>
      <c r="N19" s="21"/>
    </row>
    <row r="20" spans="1:14" ht="12.75">
      <c r="A20" s="24"/>
      <c r="B20" s="25"/>
      <c r="C20" s="26"/>
      <c r="D20" s="16"/>
      <c r="E20" s="17"/>
      <c r="F20" s="18"/>
      <c r="G20" s="19">
        <f t="shared" si="0"/>
        <v>0</v>
      </c>
      <c r="H20" s="18"/>
      <c r="I20" s="19">
        <f t="shared" si="1"/>
        <v>0</v>
      </c>
      <c r="J20" s="21"/>
      <c r="K20" s="22"/>
      <c r="L20" s="23"/>
      <c r="M20" s="31"/>
      <c r="N20" s="21"/>
    </row>
    <row r="21" spans="1:14" ht="48.75" customHeight="1">
      <c r="A21" s="24" t="s">
        <v>96</v>
      </c>
      <c r="B21" s="25" t="s">
        <v>97</v>
      </c>
      <c r="C21" s="15" t="s">
        <v>17</v>
      </c>
      <c r="D21" s="16" t="s">
        <v>98</v>
      </c>
      <c r="E21" s="17"/>
      <c r="F21" s="18">
        <v>2500</v>
      </c>
      <c r="G21" s="19">
        <f t="shared" si="0"/>
        <v>9.398496240601503</v>
      </c>
      <c r="H21" s="18">
        <v>10400</v>
      </c>
      <c r="I21" s="19">
        <f t="shared" si="1"/>
        <v>39.097744360902254</v>
      </c>
      <c r="J21" s="21" t="s">
        <v>20</v>
      </c>
      <c r="K21" s="22" t="s">
        <v>99</v>
      </c>
      <c r="L21" s="23" t="s">
        <v>100</v>
      </c>
      <c r="M21" s="279" t="s">
        <v>101</v>
      </c>
      <c r="N21" s="21"/>
    </row>
    <row r="22" spans="1:14" ht="39" customHeight="1">
      <c r="A22" s="24" t="s">
        <v>102</v>
      </c>
      <c r="B22" s="25">
        <v>38</v>
      </c>
      <c r="C22" s="26"/>
      <c r="D22" s="16" t="s">
        <v>103</v>
      </c>
      <c r="E22" s="17" t="s">
        <v>104</v>
      </c>
      <c r="F22" s="18">
        <v>2000</v>
      </c>
      <c r="G22" s="19">
        <f t="shared" si="0"/>
        <v>7.518796992481203</v>
      </c>
      <c r="H22" s="18">
        <v>17600</v>
      </c>
      <c r="I22" s="19">
        <f t="shared" si="1"/>
        <v>66.16541353383458</v>
      </c>
      <c r="J22" s="21" t="s">
        <v>20</v>
      </c>
      <c r="K22" s="22" t="s">
        <v>105</v>
      </c>
      <c r="L22" s="23" t="s">
        <v>106</v>
      </c>
      <c r="M22" s="279"/>
      <c r="N22" s="21"/>
    </row>
    <row r="23" spans="1:14" ht="29.25" customHeight="1">
      <c r="A23" s="24" t="s">
        <v>107</v>
      </c>
      <c r="B23" s="25"/>
      <c r="C23" s="26"/>
      <c r="D23" s="28" t="s">
        <v>108</v>
      </c>
      <c r="E23" s="17"/>
      <c r="F23" s="21">
        <v>13500</v>
      </c>
      <c r="G23" s="19">
        <f t="shared" si="0"/>
        <v>50.75187969924812</v>
      </c>
      <c r="H23" s="20">
        <v>33900</v>
      </c>
      <c r="I23" s="29">
        <f t="shared" si="1"/>
        <v>127.44360902255639</v>
      </c>
      <c r="J23" s="21" t="s">
        <v>27</v>
      </c>
      <c r="K23" s="22" t="s">
        <v>109</v>
      </c>
      <c r="L23" s="23" t="s">
        <v>110</v>
      </c>
      <c r="M23" s="279"/>
      <c r="N23" s="21"/>
    </row>
    <row r="24" spans="1:14" s="35" customFormat="1" ht="25.5">
      <c r="A24" s="24" t="s">
        <v>111</v>
      </c>
      <c r="B24" s="25"/>
      <c r="C24" s="26"/>
      <c r="D24" s="16" t="s">
        <v>112</v>
      </c>
      <c r="E24" s="17"/>
      <c r="F24" s="21"/>
      <c r="G24" s="17">
        <f t="shared" si="0"/>
        <v>0</v>
      </c>
      <c r="H24" s="18"/>
      <c r="I24" s="19">
        <f t="shared" si="1"/>
        <v>0</v>
      </c>
      <c r="J24" s="21"/>
      <c r="K24" s="22"/>
      <c r="L24" s="23"/>
      <c r="M24" s="31"/>
      <c r="N24" s="21"/>
    </row>
    <row r="25" spans="1:14" s="42" customFormat="1" ht="12.75">
      <c r="A25" s="36" t="s">
        <v>113</v>
      </c>
      <c r="B25" s="37"/>
      <c r="C25" s="38"/>
      <c r="D25" s="37" t="s">
        <v>114</v>
      </c>
      <c r="E25" s="39"/>
      <c r="F25" s="21"/>
      <c r="G25" s="17">
        <f t="shared" si="0"/>
        <v>0</v>
      </c>
      <c r="H25" s="18"/>
      <c r="I25" s="19">
        <f t="shared" si="1"/>
        <v>0</v>
      </c>
      <c r="J25" s="21"/>
      <c r="K25" s="22"/>
      <c r="L25" s="23"/>
      <c r="M25" s="40"/>
      <c r="N25" s="41"/>
    </row>
    <row r="26" spans="1:14" s="43" customFormat="1" ht="12.75">
      <c r="A26" s="24" t="s">
        <v>115</v>
      </c>
      <c r="B26" s="25"/>
      <c r="C26" s="15" t="s">
        <v>17</v>
      </c>
      <c r="D26" s="16" t="s">
        <v>116</v>
      </c>
      <c r="E26" s="17"/>
      <c r="F26" s="21">
        <v>1500</v>
      </c>
      <c r="G26" s="17">
        <f t="shared" si="0"/>
        <v>5.639097744360902</v>
      </c>
      <c r="H26" s="18"/>
      <c r="I26" s="19">
        <f t="shared" si="1"/>
        <v>0</v>
      </c>
      <c r="J26" s="21"/>
      <c r="K26" s="22"/>
      <c r="L26" s="23"/>
      <c r="M26" s="31"/>
      <c r="N26" s="21"/>
    </row>
    <row r="27" spans="1:14" s="43" customFormat="1" ht="12.75">
      <c r="A27" s="24" t="s">
        <v>117</v>
      </c>
      <c r="B27" s="25"/>
      <c r="C27" s="26"/>
      <c r="D27" s="16" t="s">
        <v>118</v>
      </c>
      <c r="E27" s="17"/>
      <c r="F27" s="21"/>
      <c r="G27" s="17">
        <f t="shared" si="0"/>
        <v>0</v>
      </c>
      <c r="H27" s="18"/>
      <c r="I27" s="19">
        <f t="shared" si="1"/>
        <v>0</v>
      </c>
      <c r="J27" s="21"/>
      <c r="K27" s="22"/>
      <c r="L27" s="23"/>
      <c r="M27" s="31"/>
      <c r="N27" s="21"/>
    </row>
    <row r="28" spans="1:14" s="48" customFormat="1" ht="12.75">
      <c r="A28" s="24" t="s">
        <v>119</v>
      </c>
      <c r="B28" s="14"/>
      <c r="C28" s="44"/>
      <c r="D28" s="14" t="s">
        <v>120</v>
      </c>
      <c r="E28" s="45"/>
      <c r="F28" s="21"/>
      <c r="G28" s="17">
        <f t="shared" si="0"/>
        <v>0</v>
      </c>
      <c r="H28" s="18"/>
      <c r="I28" s="19">
        <f t="shared" si="1"/>
        <v>0</v>
      </c>
      <c r="J28" s="21"/>
      <c r="K28" s="22"/>
      <c r="L28" s="23"/>
      <c r="M28" s="46"/>
      <c r="N28" s="47"/>
    </row>
    <row r="29" spans="1:14" s="48" customFormat="1" ht="12.75">
      <c r="A29" s="24" t="s">
        <v>121</v>
      </c>
      <c r="B29" s="14"/>
      <c r="C29" s="44"/>
      <c r="D29" s="14" t="s">
        <v>122</v>
      </c>
      <c r="E29" s="45"/>
      <c r="F29" s="21"/>
      <c r="G29" s="17">
        <f t="shared" si="0"/>
        <v>0</v>
      </c>
      <c r="H29" s="18"/>
      <c r="I29" s="19">
        <f t="shared" si="1"/>
        <v>0</v>
      </c>
      <c r="J29" s="21"/>
      <c r="K29" s="22"/>
      <c r="L29" s="23"/>
      <c r="M29" s="46"/>
      <c r="N29" s="47"/>
    </row>
    <row r="30" spans="1:14" s="35" customFormat="1" ht="12.75">
      <c r="A30" s="24" t="s">
        <v>123</v>
      </c>
      <c r="B30" s="49"/>
      <c r="C30" s="50"/>
      <c r="D30" s="51" t="s">
        <v>124</v>
      </c>
      <c r="E30" s="52"/>
      <c r="F30" s="21"/>
      <c r="G30" s="17">
        <f t="shared" si="0"/>
        <v>0</v>
      </c>
      <c r="H30" s="18"/>
      <c r="I30" s="19">
        <f t="shared" si="1"/>
        <v>0</v>
      </c>
      <c r="J30" s="21"/>
      <c r="K30" s="22"/>
      <c r="L30" s="23"/>
      <c r="M30" s="53"/>
      <c r="N30" s="54"/>
    </row>
    <row r="31" spans="1:14" s="43" customFormat="1" ht="12.75">
      <c r="A31" s="24" t="s">
        <v>125</v>
      </c>
      <c r="B31" s="25"/>
      <c r="C31" s="26"/>
      <c r="D31" s="16" t="s">
        <v>126</v>
      </c>
      <c r="E31" s="17"/>
      <c r="F31" s="21"/>
      <c r="G31" s="17">
        <f t="shared" si="0"/>
        <v>0</v>
      </c>
      <c r="H31" s="18"/>
      <c r="I31" s="19">
        <f t="shared" si="1"/>
        <v>0</v>
      </c>
      <c r="J31" s="21"/>
      <c r="K31" s="22"/>
      <c r="L31" s="23"/>
      <c r="M31" s="31"/>
      <c r="N31" s="21"/>
    </row>
    <row r="32" spans="1:14" s="35" customFormat="1" ht="12.75">
      <c r="A32" s="24" t="s">
        <v>127</v>
      </c>
      <c r="B32" s="49"/>
      <c r="C32" s="50"/>
      <c r="D32" s="51" t="s">
        <v>128</v>
      </c>
      <c r="E32" s="52"/>
      <c r="F32" s="21"/>
      <c r="G32" s="17">
        <f t="shared" si="0"/>
        <v>0</v>
      </c>
      <c r="H32" s="18"/>
      <c r="I32" s="19">
        <f t="shared" si="1"/>
        <v>0</v>
      </c>
      <c r="J32" s="21"/>
      <c r="K32" s="22"/>
      <c r="L32" s="23"/>
      <c r="M32" s="53"/>
      <c r="N32" s="54"/>
    </row>
    <row r="33" spans="1:14" s="43" customFormat="1" ht="12.75">
      <c r="A33" s="24" t="s">
        <v>129</v>
      </c>
      <c r="B33" s="25"/>
      <c r="C33" s="26"/>
      <c r="D33" s="16" t="s">
        <v>130</v>
      </c>
      <c r="E33" s="17"/>
      <c r="F33" s="21"/>
      <c r="G33" s="17">
        <f t="shared" si="0"/>
        <v>0</v>
      </c>
      <c r="H33" s="18"/>
      <c r="I33" s="19">
        <f t="shared" si="1"/>
        <v>0</v>
      </c>
      <c r="J33" s="21"/>
      <c r="K33" s="22"/>
      <c r="L33" s="23"/>
      <c r="M33" s="31"/>
      <c r="N33" s="21"/>
    </row>
    <row r="34" spans="1:14" s="35" customFormat="1" ht="12.75">
      <c r="A34" s="24" t="s">
        <v>131</v>
      </c>
      <c r="B34" s="49">
        <v>255</v>
      </c>
      <c r="C34" s="50">
        <v>16</v>
      </c>
      <c r="D34" s="16" t="s">
        <v>132</v>
      </c>
      <c r="E34" s="52"/>
      <c r="F34" s="21"/>
      <c r="G34" s="17">
        <f t="shared" si="0"/>
        <v>0</v>
      </c>
      <c r="H34" s="18"/>
      <c r="I34" s="19">
        <f t="shared" si="1"/>
        <v>0</v>
      </c>
      <c r="J34" s="21"/>
      <c r="K34" s="22"/>
      <c r="L34" s="23"/>
      <c r="M34" s="53"/>
      <c r="N34" s="54"/>
    </row>
    <row r="35" spans="1:14" s="60" customFormat="1" ht="12.75">
      <c r="A35" s="24" t="s">
        <v>133</v>
      </c>
      <c r="B35" s="55">
        <v>10</v>
      </c>
      <c r="C35" s="56" t="s">
        <v>68</v>
      </c>
      <c r="D35" s="51" t="s">
        <v>134</v>
      </c>
      <c r="E35" s="57"/>
      <c r="F35" s="21"/>
      <c r="G35" s="17">
        <f t="shared" si="0"/>
        <v>0</v>
      </c>
      <c r="H35" s="18"/>
      <c r="I35" s="19">
        <f t="shared" si="1"/>
        <v>0</v>
      </c>
      <c r="J35" s="21"/>
      <c r="K35" s="22"/>
      <c r="L35" s="23"/>
      <c r="M35" s="58"/>
      <c r="N35" s="59"/>
    </row>
    <row r="36" spans="1:14" s="60" customFormat="1" ht="12.75">
      <c r="A36" s="24" t="s">
        <v>135</v>
      </c>
      <c r="B36" s="55"/>
      <c r="C36" s="61"/>
      <c r="D36" s="62" t="s">
        <v>136</v>
      </c>
      <c r="E36" s="57" t="s">
        <v>137</v>
      </c>
      <c r="F36" s="21"/>
      <c r="G36" s="17">
        <f t="shared" si="0"/>
        <v>0</v>
      </c>
      <c r="H36" s="18"/>
      <c r="I36" s="19">
        <f t="shared" si="1"/>
        <v>0</v>
      </c>
      <c r="J36" s="21"/>
      <c r="K36" s="22"/>
      <c r="L36" s="23"/>
      <c r="M36" s="58"/>
      <c r="N36" s="59"/>
    </row>
    <row r="37" spans="1:14" s="60" customFormat="1" ht="12.75">
      <c r="A37" s="24" t="s">
        <v>138</v>
      </c>
      <c r="B37" s="55"/>
      <c r="C37" s="61" t="s">
        <v>24</v>
      </c>
      <c r="D37" s="62" t="s">
        <v>139</v>
      </c>
      <c r="E37" s="57" t="s">
        <v>140</v>
      </c>
      <c r="F37" s="21"/>
      <c r="G37" s="17">
        <f t="shared" si="0"/>
        <v>0</v>
      </c>
      <c r="H37" s="18"/>
      <c r="I37" s="19">
        <f t="shared" si="1"/>
        <v>0</v>
      </c>
      <c r="J37" s="21"/>
      <c r="K37" s="22"/>
      <c r="L37" s="23"/>
      <c r="M37" s="58"/>
      <c r="N37" s="59"/>
    </row>
    <row r="38" spans="1:14" s="43" customFormat="1" ht="38.25">
      <c r="A38" s="24" t="s">
        <v>141</v>
      </c>
      <c r="B38" s="25"/>
      <c r="C38" s="26" t="s">
        <v>24</v>
      </c>
      <c r="D38" s="63" t="s">
        <v>142</v>
      </c>
      <c r="E38" s="17"/>
      <c r="F38" s="21"/>
      <c r="G38" s="17">
        <f t="shared" si="0"/>
        <v>0</v>
      </c>
      <c r="H38" s="18"/>
      <c r="I38" s="19">
        <f t="shared" si="1"/>
        <v>0</v>
      </c>
      <c r="J38" s="21"/>
      <c r="K38" s="22"/>
      <c r="L38" s="23"/>
      <c r="M38" s="31"/>
      <c r="N38" s="21"/>
    </row>
    <row r="39" spans="1:14" s="48" customFormat="1" ht="60">
      <c r="A39" s="24" t="s">
        <v>143</v>
      </c>
      <c r="B39" s="14"/>
      <c r="C39" s="44" t="s">
        <v>24</v>
      </c>
      <c r="D39" s="14" t="s">
        <v>144</v>
      </c>
      <c r="E39" s="44" t="s">
        <v>145</v>
      </c>
      <c r="F39" s="21"/>
      <c r="G39" s="17" t="s">
        <v>146</v>
      </c>
      <c r="H39" s="18" t="s">
        <v>147</v>
      </c>
      <c r="I39" s="19">
        <f>135*2.4</f>
        <v>324</v>
      </c>
      <c r="J39" s="21" t="s">
        <v>148</v>
      </c>
      <c r="K39" s="22"/>
      <c r="L39" s="23"/>
      <c r="M39" s="46" t="s">
        <v>149</v>
      </c>
      <c r="N39" s="47" t="s">
        <v>150</v>
      </c>
    </row>
    <row r="40" spans="1:14" s="48" customFormat="1" ht="12.75">
      <c r="A40" s="24" t="s">
        <v>151</v>
      </c>
      <c r="B40" s="14"/>
      <c r="C40" s="44"/>
      <c r="D40" s="14"/>
      <c r="E40" s="45"/>
      <c r="F40" s="21"/>
      <c r="G40" s="17">
        <f t="shared" si="0"/>
        <v>0</v>
      </c>
      <c r="H40" s="18"/>
      <c r="I40" s="19">
        <f t="shared" si="1"/>
        <v>0</v>
      </c>
      <c r="J40" s="21"/>
      <c r="K40" s="22"/>
      <c r="L40" s="23"/>
      <c r="M40" s="46"/>
      <c r="N40" s="47"/>
    </row>
    <row r="41" spans="1:14" s="48" customFormat="1" ht="12.75">
      <c r="A41" s="24" t="s">
        <v>152</v>
      </c>
      <c r="B41" s="14"/>
      <c r="C41" s="44"/>
      <c r="D41" s="14"/>
      <c r="E41" s="45"/>
      <c r="F41" s="21"/>
      <c r="G41" s="17">
        <f t="shared" si="0"/>
        <v>0</v>
      </c>
      <c r="H41" s="18"/>
      <c r="I41" s="19">
        <f t="shared" si="1"/>
        <v>0</v>
      </c>
      <c r="J41" s="21"/>
      <c r="K41" s="22"/>
      <c r="L41" s="23"/>
      <c r="M41" s="46"/>
      <c r="N41" s="47"/>
    </row>
    <row r="42" spans="1:14" s="48" customFormat="1" ht="12.75">
      <c r="A42" s="24" t="s">
        <v>153</v>
      </c>
      <c r="B42" s="14"/>
      <c r="C42" s="44"/>
      <c r="D42" s="14"/>
      <c r="E42" s="45"/>
      <c r="F42" s="21"/>
      <c r="G42" s="17">
        <f t="shared" si="0"/>
        <v>0</v>
      </c>
      <c r="H42" s="18"/>
      <c r="I42" s="19">
        <f t="shared" si="1"/>
        <v>0</v>
      </c>
      <c r="J42" s="21"/>
      <c r="K42" s="22"/>
      <c r="L42" s="23"/>
      <c r="M42" s="46"/>
      <c r="N42" s="47"/>
    </row>
    <row r="43" spans="1:14" s="35" customFormat="1" ht="12.75">
      <c r="A43" s="24" t="s">
        <v>154</v>
      </c>
      <c r="B43" s="49"/>
      <c r="C43" s="50"/>
      <c r="E43" s="52"/>
      <c r="F43" s="21"/>
      <c r="G43" s="17">
        <f t="shared" si="0"/>
        <v>0</v>
      </c>
      <c r="H43" s="18"/>
      <c r="I43" s="19">
        <f t="shared" si="1"/>
        <v>0</v>
      </c>
      <c r="J43" s="21"/>
      <c r="K43" s="22"/>
      <c r="L43" s="23"/>
      <c r="M43" s="53"/>
      <c r="N43" s="54"/>
    </row>
    <row r="44" spans="1:13" s="43" customFormat="1" ht="12.75">
      <c r="A44" s="64"/>
      <c r="B44" s="65"/>
      <c r="C44" s="65"/>
      <c r="D44" s="66"/>
      <c r="H44" s="67"/>
      <c r="I44" s="19">
        <f t="shared" si="1"/>
        <v>0</v>
      </c>
      <c r="K44" s="68"/>
      <c r="L44" s="68"/>
      <c r="M44" s="69"/>
    </row>
    <row r="45" spans="4:9" ht="12.75">
      <c r="D45" s="70"/>
      <c r="I45" s="71">
        <f t="shared" si="1"/>
        <v>0</v>
      </c>
    </row>
    <row r="46" spans="4:9" ht="12.75">
      <c r="D46" s="70"/>
      <c r="F46" s="72" t="s">
        <v>155</v>
      </c>
      <c r="G46" s="73"/>
      <c r="H46" s="3">
        <f>SUM(H23,H18,H17,H16,H15,H8,H7,H6,H4)</f>
        <v>390900</v>
      </c>
      <c r="I46" s="19">
        <f t="shared" si="1"/>
        <v>1469.548872180451</v>
      </c>
    </row>
    <row r="47" spans="6:9" ht="12.75">
      <c r="F47" s="73" t="s">
        <v>156</v>
      </c>
      <c r="H47" s="3">
        <f>SUM(H15:H18)</f>
        <v>280000</v>
      </c>
      <c r="I47" s="19">
        <f t="shared" si="1"/>
        <v>1052.6315789473683</v>
      </c>
    </row>
    <row r="48" spans="6:9" ht="12.75">
      <c r="F48" s="72" t="s">
        <v>157</v>
      </c>
      <c r="H48" s="3">
        <f>SUM(H23,H4,H6:H8)</f>
        <v>110900</v>
      </c>
      <c r="I48" s="19">
        <f t="shared" si="1"/>
        <v>416.9172932330827</v>
      </c>
    </row>
    <row r="49" ht="12.75">
      <c r="H49" s="3">
        <f>SUM(H47:H48)</f>
        <v>390900</v>
      </c>
    </row>
    <row r="51" spans="5:9" ht="12.75">
      <c r="E51" t="s">
        <v>158</v>
      </c>
      <c r="F51" s="74" t="s">
        <v>159</v>
      </c>
      <c r="H51" s="3">
        <f>SUM(H23,H17,H18,H16,H7,H6)</f>
        <v>312900</v>
      </c>
      <c r="I51" s="3">
        <f>H51/266</f>
        <v>1176.3157894736842</v>
      </c>
    </row>
    <row r="52" spans="5:9" ht="12.75">
      <c r="E52" t="s">
        <v>158</v>
      </c>
      <c r="F52" s="75" t="s">
        <v>160</v>
      </c>
      <c r="H52" s="3">
        <f>SUM(H6,H13,H23)</f>
        <v>97900</v>
      </c>
      <c r="I52" s="3">
        <f>H52/266</f>
        <v>368.0451127819549</v>
      </c>
    </row>
  </sheetData>
  <sheetProtection/>
  <mergeCells count="4">
    <mergeCell ref="A1:N1"/>
    <mergeCell ref="M4:M10"/>
    <mergeCell ref="M13:M18"/>
    <mergeCell ref="M21:M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Aluno</cp:lastModifiedBy>
  <cp:lastPrinted>2009-08-20T20:24:00Z</cp:lastPrinted>
  <dcterms:created xsi:type="dcterms:W3CDTF">2009-07-06T17:03:36Z</dcterms:created>
  <dcterms:modified xsi:type="dcterms:W3CDTF">2009-11-27T22:50:05Z</dcterms:modified>
  <cp:category/>
  <cp:version/>
  <cp:contentType/>
  <cp:contentStatus/>
</cp:coreProperties>
</file>